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90" windowWidth="15075" windowHeight="7965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O153" i="1" l="1"/>
  <c r="M153" i="1"/>
  <c r="O144" i="1"/>
  <c r="M144" i="1"/>
  <c r="O135" i="1"/>
  <c r="M135" i="1"/>
  <c r="O126" i="1"/>
  <c r="M126" i="1"/>
  <c r="M105" i="1" l="1"/>
  <c r="O105" i="1"/>
  <c r="O117" i="1" l="1"/>
  <c r="O114" i="1"/>
  <c r="M117" i="1"/>
  <c r="M114" i="1"/>
  <c r="O102" i="1"/>
  <c r="M102" i="1"/>
  <c r="D210" i="1" l="1"/>
  <c r="D232" i="1"/>
  <c r="E133" i="1"/>
  <c r="W13" i="1"/>
  <c r="AD13" i="1"/>
  <c r="W12" i="1"/>
  <c r="AC12" i="1"/>
  <c r="W11" i="1"/>
  <c r="AC11" i="1"/>
  <c r="W10" i="1"/>
  <c r="AC10" i="1"/>
  <c r="AD57" i="1"/>
  <c r="AD56" i="1"/>
  <c r="AD55" i="1"/>
  <c r="AD54" i="1"/>
  <c r="AC57" i="1"/>
  <c r="AC56" i="1"/>
  <c r="AC55" i="1"/>
  <c r="AC54" i="1"/>
  <c r="W54" i="1"/>
  <c r="AD12" i="1"/>
  <c r="AD11" i="1"/>
  <c r="AD10" i="1"/>
  <c r="AC13" i="1"/>
  <c r="W55" i="1"/>
  <c r="W56" i="1"/>
  <c r="W57" i="1"/>
  <c r="AE57" i="1" l="1"/>
  <c r="P124" i="1"/>
  <c r="D199" i="1"/>
  <c r="P133" i="1"/>
  <c r="D221" i="1"/>
  <c r="AE11" i="1"/>
  <c r="AE54" i="1"/>
  <c r="AE12" i="1"/>
  <c r="E124" i="1"/>
  <c r="AE56" i="1"/>
  <c r="AE13" i="1"/>
  <c r="AE10" i="1"/>
  <c r="AE55" i="1"/>
  <c r="Q106" i="1"/>
  <c r="C106" i="1"/>
  <c r="Q93" i="1"/>
  <c r="I93" i="1"/>
  <c r="D93" i="1"/>
  <c r="C93" i="1"/>
  <c r="Q92" i="1"/>
  <c r="I92" i="1"/>
  <c r="D92" i="1"/>
  <c r="C92" i="1"/>
  <c r="Q91" i="1"/>
  <c r="C91" i="1"/>
  <c r="Q90" i="1"/>
  <c r="C90" i="1"/>
  <c r="Q89" i="1"/>
  <c r="C89" i="1"/>
  <c r="Q88" i="1"/>
  <c r="C88" i="1"/>
  <c r="Q87" i="1"/>
  <c r="I87" i="1"/>
  <c r="D87" i="1"/>
  <c r="C87" i="1"/>
  <c r="Q86" i="1"/>
  <c r="I86" i="1"/>
  <c r="D86" i="1"/>
  <c r="C86" i="1"/>
  <c r="Q85" i="1"/>
  <c r="C85" i="1"/>
  <c r="Q84" i="1"/>
  <c r="C84" i="1"/>
  <c r="Q83" i="1"/>
  <c r="C83" i="1"/>
  <c r="Q82" i="1"/>
  <c r="C82" i="1"/>
  <c r="Q81" i="1"/>
  <c r="I81" i="1"/>
  <c r="D81" i="1"/>
  <c r="C81" i="1"/>
  <c r="Q80" i="1"/>
  <c r="I80" i="1"/>
  <c r="D80" i="1"/>
  <c r="C80" i="1"/>
  <c r="Q79" i="1"/>
  <c r="C79" i="1"/>
  <c r="Q78" i="1"/>
  <c r="C78" i="1"/>
  <c r="Q77" i="1"/>
  <c r="C77" i="1"/>
  <c r="Q76" i="1"/>
  <c r="C76" i="1"/>
  <c r="Q75" i="1"/>
  <c r="I75" i="1"/>
  <c r="D75" i="1"/>
  <c r="C75" i="1"/>
  <c r="Q74" i="1"/>
  <c r="I74" i="1"/>
  <c r="D74" i="1"/>
  <c r="C74" i="1"/>
  <c r="Q73" i="1"/>
  <c r="C73" i="1"/>
  <c r="Q72" i="1"/>
  <c r="C72" i="1"/>
  <c r="Q71" i="1"/>
  <c r="C71" i="1"/>
  <c r="Q70" i="1"/>
  <c r="C70" i="1"/>
  <c r="Q69" i="1"/>
  <c r="I69" i="1"/>
  <c r="D69" i="1"/>
  <c r="C69" i="1"/>
  <c r="Q68" i="1"/>
  <c r="I68" i="1"/>
  <c r="D68" i="1"/>
  <c r="C68" i="1"/>
  <c r="Q67" i="1"/>
  <c r="C67" i="1"/>
  <c r="Q66" i="1"/>
  <c r="C66" i="1"/>
  <c r="Q65" i="1"/>
  <c r="C65" i="1"/>
  <c r="Q64" i="1"/>
  <c r="C64" i="1"/>
  <c r="Q63" i="1"/>
  <c r="I63" i="1"/>
  <c r="D63" i="1"/>
  <c r="C63" i="1"/>
  <c r="Q62" i="1"/>
  <c r="I62" i="1"/>
  <c r="D62" i="1"/>
  <c r="C62" i="1"/>
  <c r="Q61" i="1"/>
  <c r="C61" i="1"/>
  <c r="Q60" i="1"/>
  <c r="C60" i="1"/>
  <c r="Q59" i="1"/>
  <c r="C59" i="1"/>
  <c r="Q58" i="1"/>
  <c r="C58" i="1"/>
  <c r="Q52" i="1"/>
  <c r="C52" i="1"/>
  <c r="Q51" i="1"/>
  <c r="C51" i="1"/>
  <c r="Q50" i="1"/>
  <c r="C50" i="1"/>
  <c r="Q49" i="1"/>
  <c r="I49" i="1"/>
  <c r="D49" i="1"/>
  <c r="C49" i="1"/>
  <c r="Q48" i="1"/>
  <c r="I48" i="1"/>
  <c r="D48" i="1"/>
  <c r="C48" i="1"/>
  <c r="Q47" i="1"/>
  <c r="C47" i="1"/>
  <c r="Q46" i="1"/>
  <c r="C46" i="1"/>
  <c r="Q45" i="1"/>
  <c r="C45" i="1"/>
  <c r="Q44" i="1"/>
  <c r="C44" i="1"/>
  <c r="Q43" i="1"/>
  <c r="I43" i="1"/>
  <c r="D43" i="1"/>
  <c r="C43" i="1"/>
  <c r="Q42" i="1"/>
  <c r="I42" i="1"/>
  <c r="D42" i="1"/>
  <c r="C42" i="1"/>
  <c r="Q41" i="1"/>
  <c r="C41" i="1"/>
  <c r="Q40" i="1"/>
  <c r="C40" i="1"/>
  <c r="Q39" i="1"/>
  <c r="C39" i="1"/>
  <c r="Q38" i="1"/>
  <c r="C38" i="1"/>
  <c r="Q37" i="1"/>
  <c r="I37" i="1"/>
  <c r="D37" i="1"/>
  <c r="C37" i="1"/>
  <c r="Q36" i="1"/>
  <c r="I36" i="1"/>
  <c r="D36" i="1"/>
  <c r="C36" i="1"/>
  <c r="Q35" i="1"/>
  <c r="C35" i="1"/>
  <c r="Q34" i="1"/>
  <c r="C34" i="1"/>
  <c r="Q33" i="1"/>
  <c r="C33" i="1"/>
  <c r="Q32" i="1"/>
  <c r="C32" i="1"/>
  <c r="Q31" i="1"/>
  <c r="I31" i="1"/>
  <c r="D31" i="1"/>
  <c r="C31" i="1"/>
  <c r="Q30" i="1"/>
  <c r="I30" i="1"/>
  <c r="D30" i="1"/>
  <c r="C30" i="1"/>
  <c r="Q29" i="1"/>
  <c r="C29" i="1"/>
  <c r="Q28" i="1"/>
  <c r="C28" i="1"/>
  <c r="Q27" i="1"/>
  <c r="C27" i="1"/>
  <c r="Q26" i="1"/>
  <c r="C26" i="1"/>
  <c r="Q25" i="1"/>
  <c r="I25" i="1"/>
  <c r="D25" i="1"/>
  <c r="C25" i="1"/>
  <c r="Q24" i="1"/>
  <c r="I24" i="1"/>
  <c r="D24" i="1"/>
  <c r="C24" i="1"/>
  <c r="Q23" i="1"/>
  <c r="C23" i="1"/>
  <c r="Q22" i="1"/>
  <c r="C22" i="1"/>
  <c r="Q21" i="1"/>
  <c r="C21" i="1"/>
  <c r="Q20" i="1"/>
  <c r="C20" i="1"/>
  <c r="Q19" i="1"/>
  <c r="I19" i="1"/>
  <c r="D19" i="1"/>
  <c r="C19" i="1"/>
  <c r="Q18" i="1"/>
  <c r="X10" i="1" s="1"/>
  <c r="I18" i="1"/>
  <c r="D18" i="1"/>
  <c r="C18" i="1"/>
  <c r="D177" i="1" l="1"/>
  <c r="X11" i="1"/>
  <c r="AG11" i="1" s="1"/>
  <c r="AG10" i="1"/>
  <c r="D166" i="1"/>
  <c r="D155" i="1"/>
  <c r="P151" i="1"/>
  <c r="P142" i="1"/>
  <c r="E151" i="1"/>
  <c r="E142" i="1"/>
  <c r="X12" i="1"/>
  <c r="AG12" i="1" s="1"/>
  <c r="D188" i="1"/>
  <c r="X13" i="1"/>
  <c r="AG13" i="1" s="1"/>
  <c r="X57" i="1"/>
  <c r="AG57" i="1" s="1"/>
  <c r="X55" i="1"/>
  <c r="AG55" i="1" s="1"/>
  <c r="X56" i="1"/>
  <c r="AG56" i="1" s="1"/>
  <c r="X54" i="1"/>
  <c r="AG54" i="1" s="1"/>
  <c r="Y55" i="1"/>
  <c r="Z55" i="1"/>
  <c r="AA55" i="1"/>
  <c r="AB55" i="1"/>
  <c r="Y56" i="1"/>
  <c r="Z56" i="1"/>
  <c r="AA56" i="1"/>
  <c r="AB56" i="1"/>
  <c r="Y57" i="1"/>
  <c r="Z57" i="1"/>
  <c r="AA57" i="1"/>
  <c r="AB57" i="1"/>
  <c r="AB54" i="1"/>
  <c r="AA54" i="1"/>
  <c r="Z54" i="1"/>
  <c r="Y54" i="1"/>
  <c r="Y11" i="1"/>
  <c r="Z11" i="1"/>
  <c r="AA11" i="1"/>
  <c r="AB11" i="1"/>
  <c r="Y12" i="1"/>
  <c r="Z12" i="1"/>
  <c r="AA12" i="1"/>
  <c r="AB12" i="1"/>
  <c r="Y13" i="1"/>
  <c r="Z13" i="1"/>
  <c r="AA13" i="1"/>
  <c r="AB13" i="1"/>
  <c r="AB10" i="1"/>
  <c r="AA10" i="1"/>
  <c r="Z10" i="1"/>
  <c r="Y10" i="1"/>
  <c r="AF13" i="1" l="1"/>
  <c r="AF54" i="1"/>
  <c r="AF56" i="1"/>
  <c r="AF55" i="1"/>
  <c r="AF57" i="1"/>
  <c r="AF10" i="1"/>
  <c r="AF12" i="1"/>
  <c r="AF11" i="1"/>
  <c r="AH57" i="1" l="1"/>
  <c r="AI57" i="1" s="1"/>
  <c r="AH56" i="1"/>
  <c r="AI56" i="1" s="1"/>
  <c r="AH55" i="1"/>
  <c r="AI55" i="1" s="1"/>
  <c r="AH54" i="1"/>
  <c r="AI54" i="1" s="1"/>
  <c r="AH10" i="1"/>
  <c r="AI10" i="1" s="1"/>
  <c r="AH13" i="1"/>
  <c r="AI13" i="1" s="1"/>
  <c r="AH12" i="1"/>
  <c r="AI12" i="1" s="1"/>
  <c r="AH11" i="1"/>
  <c r="AI11" i="1" s="1"/>
  <c r="O54" i="1" l="1"/>
  <c r="N54" i="1"/>
  <c r="M54" i="1"/>
  <c r="L54" i="1"/>
  <c r="K54" i="1"/>
  <c r="J54" i="1"/>
  <c r="I54" i="1"/>
  <c r="H54" i="1"/>
  <c r="G54" i="1"/>
  <c r="F54" i="1"/>
  <c r="E54" i="1"/>
  <c r="E115" i="1" s="1"/>
  <c r="F55" i="1"/>
  <c r="G55" i="1"/>
  <c r="H55" i="1"/>
  <c r="I55" i="1"/>
  <c r="J55" i="1"/>
  <c r="K55" i="1"/>
  <c r="L55" i="1"/>
  <c r="M55" i="1"/>
  <c r="N55" i="1"/>
  <c r="O55" i="1"/>
  <c r="E55" i="1"/>
  <c r="P112" i="1" s="1"/>
  <c r="F56" i="1"/>
  <c r="G56" i="1"/>
  <c r="H56" i="1"/>
  <c r="I56" i="1"/>
  <c r="J56" i="1"/>
  <c r="K56" i="1"/>
  <c r="L56" i="1"/>
  <c r="M56" i="1"/>
  <c r="N56" i="1"/>
  <c r="O56" i="1"/>
  <c r="E56" i="1"/>
  <c r="E103" i="1" s="1"/>
  <c r="F57" i="1"/>
  <c r="G57" i="1"/>
  <c r="H57" i="1"/>
  <c r="I57" i="1"/>
  <c r="J57" i="1"/>
  <c r="K57" i="1"/>
  <c r="L57" i="1"/>
  <c r="M57" i="1"/>
  <c r="N57" i="1"/>
  <c r="O57" i="1"/>
  <c r="E57" i="1"/>
  <c r="P100" i="1" s="1"/>
  <c r="F11" i="1"/>
  <c r="G11" i="1"/>
  <c r="H11" i="1"/>
  <c r="I11" i="1"/>
  <c r="J11" i="1"/>
  <c r="K11" i="1"/>
  <c r="L11" i="1"/>
  <c r="M11" i="1"/>
  <c r="N11" i="1"/>
  <c r="O11" i="1"/>
  <c r="E11" i="1"/>
  <c r="P115" i="1" s="1"/>
  <c r="F12" i="1"/>
  <c r="G12" i="1"/>
  <c r="H12" i="1"/>
  <c r="I12" i="1"/>
  <c r="J12" i="1"/>
  <c r="K12" i="1"/>
  <c r="L12" i="1"/>
  <c r="M12" i="1"/>
  <c r="N12" i="1"/>
  <c r="O12" i="1"/>
  <c r="E12" i="1"/>
  <c r="E100" i="1" s="1"/>
  <c r="F13" i="1"/>
  <c r="G13" i="1"/>
  <c r="H13" i="1"/>
  <c r="I13" i="1"/>
  <c r="J13" i="1"/>
  <c r="K13" i="1"/>
  <c r="L13" i="1"/>
  <c r="M13" i="1"/>
  <c r="N13" i="1"/>
  <c r="O13" i="1"/>
  <c r="E13" i="1"/>
  <c r="P103" i="1" s="1"/>
  <c r="F10" i="1"/>
  <c r="O10" i="1"/>
  <c r="N10" i="1"/>
  <c r="M10" i="1"/>
  <c r="L10" i="1"/>
  <c r="K10" i="1"/>
  <c r="J10" i="1"/>
  <c r="I10" i="1"/>
  <c r="H10" i="1"/>
  <c r="G10" i="1"/>
  <c r="E10" i="1"/>
  <c r="E112" i="1" s="1"/>
</calcChain>
</file>

<file path=xl/sharedStrings.xml><?xml version="1.0" encoding="utf-8"?>
<sst xmlns="http://schemas.openxmlformats.org/spreadsheetml/2006/main" count="178" uniqueCount="78">
  <si>
    <t>GRUPO I</t>
  </si>
  <si>
    <t>Pos.</t>
  </si>
  <si>
    <t>CARTOLA</t>
  </si>
  <si>
    <t>P</t>
  </si>
  <si>
    <t>PCC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</si>
  <si>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</si>
  <si>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</si>
  <si>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</si>
  <si>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</si>
  <si>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</si>
  <si>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</si>
  <si>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</si>
  <si>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</si>
  <si>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</si>
  <si>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</si>
  <si>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</si>
  <si>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</si>
  <si>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</si>
  <si>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</si>
  <si>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</si>
  <si>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1ª RODADA - #28</t>
  </si>
  <si>
    <t>x</t>
  </si>
  <si>
    <t xml:space="preserve"> </t>
  </si>
  <si>
    <t>2ª RODADA - #29</t>
  </si>
  <si>
    <t>3ª RODADA - #30</t>
  </si>
  <si>
    <t>4ª RODADA - #31</t>
  </si>
  <si>
    <t>5ª RODADA - #32</t>
  </si>
  <si>
    <t>6ª RODADA - #33</t>
  </si>
  <si>
    <t>GRUPO II</t>
  </si>
  <si>
    <t>SEMI-FINAL</t>
  </si>
  <si>
    <t>RODADAS #34 e 35</t>
  </si>
  <si>
    <t>J1</t>
  </si>
  <si>
    <t>X</t>
  </si>
  <si>
    <t>J2</t>
  </si>
  <si>
    <t>DISPUTA DO 3º LUGAR</t>
  </si>
  <si>
    <t>RODADAS #36 e 37</t>
  </si>
  <si>
    <t>J3</t>
  </si>
  <si>
    <t>FINAL</t>
  </si>
  <si>
    <t>J4</t>
  </si>
  <si>
    <t>MUNDIAL DE CLUBES - 2015</t>
  </si>
  <si>
    <t>J</t>
  </si>
  <si>
    <t>V3P</t>
  </si>
  <si>
    <t>V2P</t>
  </si>
  <si>
    <t>E</t>
  </si>
  <si>
    <t>D</t>
  </si>
  <si>
    <t>% APR.</t>
  </si>
  <si>
    <t>PPC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</si>
  <si>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</si>
  <si>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</si>
  <si>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</si>
  <si>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</si>
  <si>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</si>
  <si>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</si>
  <si>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</si>
  <si>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Classificados</t>
  </si>
  <si>
    <t>disputa do 5º Lugar</t>
  </si>
  <si>
    <t>DISPUTA DO 5º LUGAR</t>
  </si>
  <si>
    <t>DISPUTA DO 7º LUGAR</t>
  </si>
  <si>
    <t>J5</t>
  </si>
  <si>
    <t>J6</t>
  </si>
  <si>
    <t>J7</t>
  </si>
  <si>
    <t>J8</t>
  </si>
  <si>
    <t>Engenheirense</t>
  </si>
  <si>
    <t>.In$a.nyo$.Br</t>
  </si>
  <si>
    <t>Tribe of Gypses</t>
  </si>
  <si>
    <t>Botafogo Rocha</t>
  </si>
  <si>
    <t>US Karas</t>
  </si>
  <si>
    <t>BRF Igor Costa</t>
  </si>
  <si>
    <t>F.C. Bugrao</t>
  </si>
  <si>
    <t>Stars United</t>
  </si>
  <si>
    <t>CAMPEÃO - 45 pontos Ranking</t>
  </si>
  <si>
    <t>VICE - 44 pontos Ranking</t>
  </si>
  <si>
    <t>3º LUGAR - 43 pontos Ranking</t>
  </si>
  <si>
    <t>4º LUGAR - 42 pontos Ranking</t>
  </si>
  <si>
    <t>5º LUGAR - 41 pontos Ranking</t>
  </si>
  <si>
    <t>6º LUGAR - 40 pontos Ranking</t>
  </si>
  <si>
    <t>7º LUGAR - 39 pontos Ranking</t>
  </si>
  <si>
    <t>8º LUGAR - 38 pontos 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</si>
</sst>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93">
    <xf numFmtId="0" fontId="0" fillId="0" borderId="0" xfId="0"/>
    <xf numFmtId="0" fontId="1" fillId="2" borderId="10" xfId="0" applyFont="1" applyFill="1" applyBorder="1" applyAlignment="1" applyProtection="1">
      <alignment horizontal="center"/>
      <protection hidden="1"/>
    </xf>
    <xf numFmtId="0" fontId="1" fillId="2" borderId="45" xfId="0" applyFont="1" applyFill="1" applyBorder="1" applyAlignment="1" applyProtection="1">
      <alignment horizontal="center"/>
      <protection hidden="1"/>
    </xf>
    <xf numFmtId="0" fontId="1" fillId="4" borderId="18" xfId="0" applyFont="1" applyFill="1" applyBorder="1" applyAlignment="1" applyProtection="1">
      <alignment horizontal="center" vertical="center"/>
      <protection hidden="1"/>
    </xf>
    <xf numFmtId="0" fontId="1" fillId="5" borderId="18" xfId="0" applyFont="1" applyFill="1" applyBorder="1" applyAlignment="1" applyProtection="1">
      <alignment horizontal="center" vertical="center"/>
      <protection hidden="1"/>
    </xf>
    <xf numFmtId="0" fontId="1" fillId="4" borderId="14" xfId="0" applyFont="1" applyFill="1" applyBorder="1" applyAlignment="1" applyProtection="1">
      <alignment horizontal="center"/>
      <protection hidden="1"/>
    </xf>
    <xf numFmtId="0" fontId="1" fillId="4" borderId="15" xfId="0" applyFont="1" applyFill="1" applyBorder="1" applyAlignment="1" applyProtection="1">
      <alignment horizontal="center"/>
      <protection hidden="1"/>
    </xf>
    <xf numFmtId="1" fontId="1" fillId="4" borderId="18" xfId="0" applyNumberFormat="1" applyFont="1" applyFill="1" applyBorder="1" applyAlignment="1" applyProtection="1">
      <alignment horizontal="center" vertical="center"/>
      <protection hidden="1"/>
    </xf>
    <xf numFmtId="0" fontId="1" fillId="4" borderId="17" xfId="0" applyFont="1" applyFill="1" applyBorder="1" applyAlignment="1" applyProtection="1">
      <alignment horizontal="center"/>
      <protection hidden="1"/>
    </xf>
    <xf numFmtId="0" fontId="1" fillId="4" borderId="18" xfId="0" applyFont="1" applyFill="1" applyBorder="1" applyAlignment="1" applyProtection="1">
      <alignment horizontal="center"/>
      <protection hidden="1"/>
    </xf>
    <xf numFmtId="0" fontId="1" fillId="5" borderId="17" xfId="0" applyFont="1" applyFill="1" applyBorder="1" applyAlignment="1" applyProtection="1">
      <alignment horizontal="center"/>
      <protection hidden="1"/>
    </xf>
    <xf numFmtId="0" fontId="1" fillId="5" borderId="18" xfId="0" applyFont="1" applyFill="1" applyBorder="1" applyAlignment="1" applyProtection="1">
      <alignment horizontal="center"/>
      <protection hidden="1"/>
    </xf>
    <xf numFmtId="1" fontId="1" fillId="5" borderId="18" xfId="0" applyNumberFormat="1" applyFont="1" applyFill="1" applyBorder="1" applyAlignment="1" applyProtection="1">
      <alignment horizontal="center" vertical="center"/>
      <protection hidden="1"/>
    </xf>
    <xf numFmtId="0" fontId="1" fillId="5" borderId="20" xfId="0" applyFont="1" applyFill="1" applyBorder="1" applyAlignment="1" applyProtection="1">
      <alignment horizontal="center"/>
      <protection hidden="1"/>
    </xf>
    <xf numFmtId="0" fontId="1" fillId="5" borderId="21" xfId="0" applyFont="1" applyFill="1" applyBorder="1" applyAlignment="1" applyProtection="1">
      <alignment horizontal="center"/>
      <protection hidden="1"/>
    </xf>
    <xf numFmtId="0" fontId="1" fillId="5" borderId="21" xfId="0" applyFont="1" applyFill="1" applyBorder="1" applyAlignment="1" applyProtection="1">
      <alignment horizontal="center" vertical="center"/>
      <protection hidden="1"/>
    </xf>
    <xf numFmtId="1" fontId="1" fillId="5" borderId="21" xfId="0" applyNumberFormat="1" applyFont="1" applyFill="1" applyBorder="1" applyAlignment="1" applyProtection="1">
      <alignment horizontal="center" vertical="center"/>
      <protection hidden="1"/>
    </xf>
    <xf numFmtId="0" fontId="1" fillId="4" borderId="15" xfId="0" applyFont="1" applyFill="1" applyBorder="1" applyAlignment="1" applyProtection="1">
      <alignment horizontal="center" vertical="center"/>
      <protection hidden="1"/>
    </xf>
    <xf numFmtId="1" fontId="1" fillId="4" borderId="15" xfId="0" applyNumberFormat="1" applyFont="1" applyFill="1" applyBorder="1" applyAlignment="1" applyProtection="1">
      <alignment horizontal="center" vertical="center"/>
      <protection hidden="1"/>
    </xf>
    <xf numFmtId="0" fontId="1" fillId="2" borderId="9" xfId="0" applyFont="1" applyFill="1" applyBorder="1" applyAlignment="1" applyProtection="1">
      <alignment horizontal="center" vertical="center"/>
      <protection hidden="1"/>
    </xf>
    <xf numFmtId="0" fontId="1" fillId="2" borderId="10" xfId="0" applyFont="1" applyFill="1" applyBorder="1" applyAlignment="1" applyProtection="1">
      <alignment horizontal="center" vertical="center"/>
      <protection hidden="1"/>
    </xf>
    <xf numFmtId="0" fontId="1" fillId="4" borderId="27" xfId="0" applyFont="1" applyFill="1" applyBorder="1" applyAlignment="1" applyProtection="1">
      <alignment horizontal="center"/>
      <protection hidden="1"/>
    </xf>
    <xf numFmtId="0" fontId="1" fillId="4" borderId="28" xfId="0" applyFont="1" applyFill="1" applyBorder="1" applyAlignment="1" applyProtection="1">
      <alignment horizontal="center"/>
      <protection hidden="1"/>
    </xf>
    <xf numFmtId="0" fontId="1" fillId="5" borderId="28" xfId="0" applyFont="1" applyFill="1" applyBorder="1" applyAlignment="1" applyProtection="1">
      <alignment horizontal="center"/>
      <protection hidden="1"/>
    </xf>
    <xf numFmtId="0" fontId="1" fillId="5" borderId="26" xfId="0" applyFont="1" applyFill="1" applyBorder="1" applyAlignment="1" applyProtection="1">
      <alignment horizontal="center"/>
      <protection hidden="1"/>
    </xf>
    <xf numFmtId="0" fontId="1" fillId="2" borderId="9" xfId="0" applyFont="1" applyFill="1" applyBorder="1" applyAlignment="1" applyProtection="1">
      <alignment horizontal="center"/>
      <protection hidden="1"/>
    </xf>
    <xf numFmtId="1" fontId="1" fillId="4" borderId="15" xfId="0" applyNumberFormat="1" applyFont="1" applyFill="1" applyBorder="1" applyAlignment="1" applyProtection="1">
      <alignment horizontal="center"/>
      <protection hidden="1"/>
    </xf>
    <xf numFmtId="1" fontId="1" fillId="4" borderId="18" xfId="0" applyNumberFormat="1" applyFont="1" applyFill="1" applyBorder="1" applyAlignment="1" applyProtection="1">
      <alignment horizontal="center"/>
      <protection hidden="1"/>
    </xf>
    <xf numFmtId="1" fontId="1" fillId="5" borderId="18" xfId="0" applyNumberFormat="1" applyFont="1" applyFill="1" applyBorder="1" applyAlignment="1" applyProtection="1">
      <alignment horizontal="center"/>
      <protection hidden="1"/>
    </xf>
    <xf numFmtId="1" fontId="1" fillId="5" borderId="21" xfId="0" applyNumberFormat="1" applyFont="1" applyFill="1" applyBorder="1" applyAlignment="1" applyProtection="1">
      <alignment horizontal="center"/>
      <protection hidden="1"/>
    </xf>
    <xf numFmtId="9" fontId="1" fillId="4" borderId="16" xfId="1" applyFont="1" applyFill="1" applyBorder="1" applyAlignment="1" applyProtection="1">
      <alignment horizontal="center"/>
      <protection hidden="1"/>
    </xf>
    <xf numFmtId="9" fontId="1" fillId="4" borderId="19" xfId="1" applyFont="1" applyFill="1" applyBorder="1" applyAlignment="1" applyProtection="1">
      <alignment horizontal="center"/>
      <protection hidden="1"/>
    </xf>
    <xf numFmtId="9" fontId="1" fillId="5" borderId="19" xfId="1" applyFont="1" applyFill="1" applyBorder="1" applyAlignment="1" applyProtection="1">
      <alignment horizontal="center"/>
      <protection hidden="1"/>
    </xf>
    <xf numFmtId="9" fontId="1" fillId="5" borderId="22" xfId="1" applyFont="1" applyFill="1" applyBorder="1" applyAlignment="1" applyProtection="1">
      <alignment horizontal="center"/>
      <protection hidden="1"/>
    </xf>
    <xf numFmtId="9" fontId="1" fillId="4" borderId="16" xfId="1" applyFont="1" applyFill="1" applyBorder="1" applyAlignment="1" applyProtection="1">
      <alignment horizontal="center" vertical="center"/>
      <protection hidden="1"/>
    </xf>
    <xf numFmtId="9" fontId="1" fillId="4" borderId="19" xfId="1" applyFont="1" applyFill="1" applyBorder="1" applyAlignment="1" applyProtection="1">
      <alignment horizontal="center" vertical="center"/>
      <protection hidden="1"/>
    </xf>
    <xf numFmtId="9" fontId="1" fillId="5" borderId="19" xfId="1" applyFont="1" applyFill="1" applyBorder="1" applyAlignment="1" applyProtection="1">
      <alignment horizontal="center" vertical="center"/>
      <protection hidden="1"/>
    </xf>
    <xf numFmtId="9" fontId="1" fillId="5" borderId="22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6" fillId="0" borderId="0" xfId="0" applyFont="1" applyProtection="1">
      <protection hidden="1"/>
    </xf>
    <xf numFmtId="0" fontId="7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7" fillId="3" borderId="0" xfId="0" applyFont="1" applyFill="1" applyProtection="1">
      <protection hidden="1"/>
    </xf>
    <xf numFmtId="0" fontId="8" fillId="3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6" fillId="3" borderId="0" xfId="0" applyFont="1" applyFill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1" fontId="1" fillId="3" borderId="0" xfId="0" applyNumberFormat="1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6" fillId="4" borderId="47" xfId="0" applyFont="1" applyFill="1" applyBorder="1" applyProtection="1">
      <protection hidden="1"/>
    </xf>
    <xf numFmtId="0" fontId="6" fillId="5" borderId="47" xfId="0" applyFont="1" applyFill="1" applyBorder="1" applyProtection="1">
      <protection hidden="1"/>
    </xf>
    <xf numFmtId="0" fontId="8" fillId="0" borderId="0" xfId="0" applyFont="1" applyProtection="1">
      <protection hidden="1"/>
    </xf>
    <xf numFmtId="1" fontId="8" fillId="0" borderId="18" xfId="0" applyNumberFormat="1" applyFont="1" applyBorder="1" applyAlignment="1" applyProtection="1">
      <alignment horizontal="center"/>
      <protection locked="0" hidden="1"/>
    </xf>
    <xf numFmtId="2" fontId="6" fillId="0" borderId="18" xfId="0" applyNumberFormat="1" applyFont="1" applyBorder="1" applyAlignment="1" applyProtection="1">
      <alignment horizontal="center"/>
      <protection hidden="1"/>
    </xf>
    <xf numFmtId="1" fontId="7" fillId="0" borderId="18" xfId="0" applyNumberFormat="1" applyFont="1" applyBorder="1" applyAlignment="1" applyProtection="1">
      <alignment horizontal="center"/>
      <protection locked="0" hidden="1"/>
    </xf>
    <xf numFmtId="0" fontId="6" fillId="0" borderId="18" xfId="0" applyFont="1" applyBorder="1" applyAlignment="1" applyProtection="1">
      <alignment horizontal="center"/>
      <protection hidden="1"/>
    </xf>
    <xf numFmtId="0" fontId="4" fillId="0" borderId="0" xfId="0" applyFont="1" applyProtection="1">
      <protection locked="0" hidden="1"/>
    </xf>
    <xf numFmtId="0" fontId="7" fillId="0" borderId="0" xfId="0" applyFont="1" applyAlignment="1" applyProtection="1">
      <alignment horizontal="center" vertical="center"/>
      <protection hidden="1"/>
    </xf>
    <xf numFmtId="1" fontId="1" fillId="3" borderId="0" xfId="0" applyNumberFormat="1" applyFont="1" applyFill="1" applyProtection="1">
      <protection hidden="1"/>
    </xf>
    <xf numFmtId="0" fontId="4" fillId="0" borderId="0" xfId="0" applyFont="1" applyBorder="1" applyAlignment="1" applyProtection="1">
      <alignment horizontal="center"/>
      <protection hidden="1"/>
    </xf>
    <xf numFmtId="1" fontId="6" fillId="0" borderId="0" xfId="0" applyNumberFormat="1" applyFont="1" applyBorder="1" applyAlignment="1" applyProtection="1">
      <alignment horizontal="center"/>
      <protection locked="0" hidden="1"/>
    </xf>
    <xf numFmtId="2" fontId="6" fillId="0" borderId="0" xfId="0" applyNumberFormat="1" applyFont="1" applyBorder="1" applyAlignment="1" applyProtection="1">
      <alignment horizontal="center"/>
      <protection hidden="1"/>
    </xf>
    <xf numFmtId="0" fontId="5" fillId="2" borderId="4" xfId="0" applyFont="1" applyFill="1" applyBorder="1" applyAlignment="1" applyProtection="1">
      <alignment vertical="center"/>
      <protection hidden="1"/>
    </xf>
    <xf numFmtId="0" fontId="5" fillId="2" borderId="0" xfId="0" applyFont="1" applyFill="1" applyBorder="1" applyAlignment="1" applyProtection="1">
      <alignment vertical="center"/>
      <protection hidden="1"/>
    </xf>
    <xf numFmtId="0" fontId="5" fillId="2" borderId="5" xfId="0" applyFont="1" applyFill="1" applyBorder="1" applyAlignment="1" applyProtection="1">
      <alignment vertical="center"/>
      <protection hidden="1"/>
    </xf>
    <xf numFmtId="2" fontId="4" fillId="0" borderId="24" xfId="0" applyNumberFormat="1" applyFont="1" applyBorder="1" applyAlignment="1" applyProtection="1">
      <alignment horizontal="center" vertical="center"/>
      <protection hidden="1"/>
    </xf>
    <xf numFmtId="2" fontId="4" fillId="0" borderId="21" xfId="0" applyNumberFormat="1" applyFont="1" applyBorder="1" applyAlignment="1" applyProtection="1">
      <alignment horizontal="center" vertical="center"/>
      <protection hidden="1"/>
    </xf>
    <xf numFmtId="0" fontId="10" fillId="0" borderId="33" xfId="0" applyFont="1" applyBorder="1" applyAlignment="1" applyProtection="1">
      <alignment vertical="center"/>
      <protection hidden="1"/>
    </xf>
    <xf numFmtId="0" fontId="4" fillId="0" borderId="33" xfId="0" applyFont="1" applyBorder="1" applyAlignment="1" applyProtection="1">
      <alignment horizontal="center"/>
      <protection hidden="1"/>
    </xf>
    <xf numFmtId="0" fontId="4" fillId="0" borderId="34" xfId="0" applyFont="1" applyBorder="1" applyAlignment="1" applyProtection="1">
      <alignment horizontal="center"/>
      <protection hidden="1"/>
    </xf>
    <xf numFmtId="0" fontId="4" fillId="0" borderId="13" xfId="0" applyFont="1" applyBorder="1" applyAlignment="1" applyProtection="1">
      <alignment horizontal="center"/>
      <protection hidden="1"/>
    </xf>
    <xf numFmtId="2" fontId="6" fillId="0" borderId="36" xfId="0" applyNumberFormat="1" applyFont="1" applyBorder="1" applyAlignment="1" applyProtection="1">
      <alignment horizontal="center" vertical="center"/>
      <protection hidden="1"/>
    </xf>
    <xf numFmtId="2" fontId="6" fillId="0" borderId="24" xfId="0" applyNumberFormat="1" applyFont="1" applyBorder="1" applyAlignment="1" applyProtection="1">
      <alignment horizontal="center" vertical="center"/>
      <protection hidden="1"/>
    </xf>
    <xf numFmtId="2" fontId="6" fillId="0" borderId="39" xfId="0" applyNumberFormat="1" applyFont="1" applyBorder="1" applyAlignment="1" applyProtection="1">
      <alignment horizontal="center" vertical="center"/>
      <protection hidden="1"/>
    </xf>
    <xf numFmtId="0" fontId="4" fillId="0" borderId="33" xfId="0" applyFont="1" applyBorder="1" applyProtection="1">
      <protection hidden="1"/>
    </xf>
    <xf numFmtId="0" fontId="4" fillId="0" borderId="34" xfId="0" applyFont="1" applyBorder="1" applyProtection="1">
      <protection hidden="1"/>
    </xf>
    <xf numFmtId="0" fontId="4" fillId="0" borderId="13" xfId="0" applyFont="1" applyBorder="1" applyProtection="1">
      <protection hidden="1"/>
    </xf>
    <xf numFmtId="2" fontId="6" fillId="0" borderId="10" xfId="0" applyNumberFormat="1" applyFont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2" fontId="6" fillId="0" borderId="0" xfId="0" applyNumberFormat="1" applyFont="1" applyBorder="1" applyAlignment="1" applyProtection="1">
      <alignment horizontal="center" vertical="center"/>
      <protection hidden="1"/>
    </xf>
    <xf numFmtId="2" fontId="8" fillId="0" borderId="0" xfId="0" applyNumberFormat="1" applyFont="1" applyBorder="1" applyAlignment="1" applyProtection="1">
      <alignment horizontal="center" vertical="center"/>
      <protection hidden="1"/>
    </xf>
    <xf numFmtId="0" fontId="6" fillId="0" borderId="24" xfId="0" applyFont="1" applyBorder="1" applyAlignment="1" applyProtection="1">
      <alignment horizontal="center" vertical="center"/>
      <protection hidden="1"/>
    </xf>
    <xf numFmtId="0" fontId="6" fillId="0" borderId="39" xfId="0" applyFont="1" applyBorder="1" applyAlignment="1" applyProtection="1">
      <alignment horizontal="center" vertical="center"/>
      <protection hidden="1"/>
    </xf>
    <xf numFmtId="0" fontId="6" fillId="0" borderId="10" xfId="0" applyFont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vertical="center"/>
      <protection hidden="1"/>
    </xf>
    <xf numFmtId="0" fontId="5" fillId="2" borderId="2" xfId="0" applyFont="1" applyFill="1" applyBorder="1" applyAlignment="1" applyProtection="1">
      <alignment vertical="center"/>
      <protection hidden="1"/>
    </xf>
    <xf numFmtId="0" fontId="5" fillId="2" borderId="3" xfId="0" applyFont="1" applyFill="1" applyBorder="1" applyAlignment="1" applyProtection="1">
      <alignment vertical="center"/>
      <protection hidden="1"/>
    </xf>
    <xf numFmtId="0" fontId="5" fillId="2" borderId="6" xfId="0" applyFont="1" applyFill="1" applyBorder="1" applyAlignment="1" applyProtection="1">
      <alignment vertical="center"/>
      <protection hidden="1"/>
    </xf>
    <xf numFmtId="0" fontId="5" fillId="2" borderId="7" xfId="0" applyFont="1" applyFill="1" applyBorder="1" applyAlignment="1" applyProtection="1">
      <alignment vertical="center"/>
      <protection hidden="1"/>
    </xf>
    <xf numFmtId="0" fontId="5" fillId="2" borderId="8" xfId="0" applyFont="1" applyFill="1" applyBorder="1" applyAlignment="1" applyProtection="1">
      <alignment vertical="center"/>
      <protection hidden="1"/>
    </xf>
    <xf numFmtId="0" fontId="6" fillId="0" borderId="12" xfId="0" applyFont="1" applyBorder="1" applyAlignment="1" applyProtection="1">
      <alignment horizontal="center" vertical="center"/>
      <protection hidden="1"/>
    </xf>
    <xf numFmtId="0" fontId="4" fillId="0" borderId="0" xfId="0" applyFont="1"/>
    <xf numFmtId="2" fontId="7" fillId="0" borderId="29" xfId="0" applyNumberFormat="1" applyFont="1" applyBorder="1" applyAlignment="1" applyProtection="1">
      <alignment horizontal="center" vertical="center"/>
      <protection locked="0" hidden="1"/>
    </xf>
    <xf numFmtId="2" fontId="7" fillId="0" borderId="30" xfId="0" applyNumberFormat="1" applyFont="1" applyBorder="1" applyAlignment="1" applyProtection="1">
      <alignment horizontal="center" vertical="center"/>
      <protection locked="0" hidden="1"/>
    </xf>
    <xf numFmtId="2" fontId="8" fillId="0" borderId="30" xfId="0" applyNumberFormat="1" applyFont="1" applyBorder="1" applyAlignment="1" applyProtection="1">
      <alignment horizontal="center" vertical="center"/>
      <protection locked="0" hidden="1"/>
    </xf>
    <xf numFmtId="2" fontId="8" fillId="0" borderId="29" xfId="0" applyNumberFormat="1" applyFont="1" applyBorder="1" applyAlignment="1" applyProtection="1">
      <alignment horizontal="center" vertical="center"/>
      <protection locked="0" hidden="1"/>
    </xf>
    <xf numFmtId="2" fontId="7" fillId="0" borderId="32" xfId="0" applyNumberFormat="1" applyFont="1" applyBorder="1" applyAlignment="1" applyProtection="1">
      <alignment horizontal="center" vertical="center"/>
      <protection locked="0" hidden="1"/>
    </xf>
    <xf numFmtId="2" fontId="7" fillId="0" borderId="37" xfId="0" applyNumberFormat="1" applyFont="1" applyBorder="1" applyAlignment="1" applyProtection="1">
      <alignment horizontal="center" vertical="center"/>
      <protection hidden="1"/>
    </xf>
    <xf numFmtId="2" fontId="7" fillId="0" borderId="40" xfId="0" applyNumberFormat="1" applyFont="1" applyBorder="1" applyAlignment="1" applyProtection="1">
      <alignment horizontal="center" vertical="center"/>
      <protection locked="0" hidden="1"/>
    </xf>
    <xf numFmtId="2" fontId="7" fillId="0" borderId="11" xfId="0" applyNumberFormat="1" applyFont="1" applyBorder="1" applyAlignment="1" applyProtection="1">
      <alignment horizontal="center" vertical="center"/>
      <protection hidden="1"/>
    </xf>
    <xf numFmtId="2" fontId="7" fillId="0" borderId="31" xfId="0" applyNumberFormat="1" applyFont="1" applyBorder="1" applyAlignment="1" applyProtection="1">
      <alignment horizontal="center" vertical="center"/>
      <protection locked="0" hidden="1"/>
    </xf>
    <xf numFmtId="2" fontId="7" fillId="0" borderId="35" xfId="0" applyNumberFormat="1" applyFont="1" applyBorder="1" applyAlignment="1" applyProtection="1">
      <alignment horizontal="center" vertical="center"/>
      <protection hidden="1"/>
    </xf>
    <xf numFmtId="2" fontId="7" fillId="0" borderId="38" xfId="0" applyNumberFormat="1" applyFont="1" applyBorder="1" applyAlignment="1" applyProtection="1">
      <alignment horizontal="center" vertical="center"/>
      <protection locked="0" hidden="1"/>
    </xf>
    <xf numFmtId="2" fontId="7" fillId="0" borderId="12" xfId="0" applyNumberFormat="1" applyFont="1" applyBorder="1" applyAlignment="1" applyProtection="1">
      <alignment horizontal="center" vertical="center"/>
      <protection hidden="1"/>
    </xf>
    <xf numFmtId="2" fontId="8" fillId="0" borderId="31" xfId="0" applyNumberFormat="1" applyFont="1" applyBorder="1" applyAlignment="1" applyProtection="1">
      <alignment horizontal="center" vertical="center"/>
      <protection locked="0" hidden="1"/>
    </xf>
    <xf numFmtId="2" fontId="8" fillId="0" borderId="35" xfId="0" applyNumberFormat="1" applyFont="1" applyBorder="1" applyAlignment="1" applyProtection="1">
      <alignment horizontal="center" vertical="center"/>
      <protection hidden="1"/>
    </xf>
    <xf numFmtId="2" fontId="8" fillId="0" borderId="38" xfId="0" applyNumberFormat="1" applyFont="1" applyBorder="1" applyAlignment="1" applyProtection="1">
      <alignment horizontal="center" vertical="center"/>
      <protection locked="0" hidden="1"/>
    </xf>
    <xf numFmtId="2" fontId="8" fillId="0" borderId="12" xfId="0" applyNumberFormat="1" applyFont="1" applyBorder="1" applyAlignment="1" applyProtection="1">
      <alignment horizontal="center" vertical="center"/>
      <protection hidden="1"/>
    </xf>
    <xf numFmtId="2" fontId="8" fillId="0" borderId="32" xfId="0" applyNumberFormat="1" applyFont="1" applyBorder="1" applyAlignment="1" applyProtection="1">
      <alignment horizontal="center" vertical="center"/>
      <protection locked="0" hidden="1"/>
    </xf>
    <xf numFmtId="2" fontId="8" fillId="0" borderId="37" xfId="0" applyNumberFormat="1" applyFont="1" applyBorder="1" applyAlignment="1" applyProtection="1">
      <alignment horizontal="center" vertical="center"/>
      <protection hidden="1"/>
    </xf>
    <xf numFmtId="2" fontId="8" fillId="0" borderId="40" xfId="0" applyNumberFormat="1" applyFont="1" applyBorder="1" applyAlignment="1" applyProtection="1">
      <alignment horizontal="center" vertical="center"/>
      <protection locked="0" hidden="1"/>
    </xf>
    <xf numFmtId="2" fontId="8" fillId="0" borderId="11" xfId="0" applyNumberFormat="1" applyFont="1" applyBorder="1" applyAlignment="1" applyProtection="1">
      <alignment horizontal="center" vertical="center"/>
      <protection hidden="1"/>
    </xf>
    <xf numFmtId="0" fontId="7" fillId="0" borderId="25" xfId="0" applyFont="1" applyBorder="1" applyAlignment="1" applyProtection="1">
      <alignment horizontal="center" vertical="center"/>
      <protection locked="0" hidden="1"/>
    </xf>
    <xf numFmtId="2" fontId="7" fillId="0" borderId="25" xfId="0" applyNumberFormat="1" applyFont="1" applyBorder="1" applyAlignment="1" applyProtection="1">
      <alignment horizontal="center" vertical="center"/>
      <protection locked="0" hidden="1"/>
    </xf>
    <xf numFmtId="2" fontId="8" fillId="0" borderId="23" xfId="0" applyNumberFormat="1" applyFont="1" applyBorder="1" applyAlignment="1" applyProtection="1">
      <alignment horizontal="center" vertical="center"/>
      <protection locked="0" hidden="1"/>
    </xf>
    <xf numFmtId="0" fontId="8" fillId="0" borderId="23" xfId="0" applyFont="1" applyBorder="1" applyAlignment="1" applyProtection="1">
      <alignment horizontal="center" vertical="center"/>
      <protection locked="0"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5" fillId="2" borderId="3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8" xfId="0" applyFont="1" applyFill="1" applyBorder="1" applyAlignment="1" applyProtection="1">
      <alignment horizontal="center" vertical="center"/>
      <protection hidden="1"/>
    </xf>
    <xf numFmtId="0" fontId="2" fillId="2" borderId="23" xfId="0" applyFont="1" applyFill="1" applyBorder="1" applyAlignment="1" applyProtection="1">
      <alignment horizontal="center" vertical="center"/>
      <protection hidden="1"/>
    </xf>
    <xf numFmtId="0" fontId="2" fillId="2" borderId="24" xfId="0" applyFont="1" applyFill="1" applyBorder="1" applyAlignment="1" applyProtection="1">
      <alignment horizontal="center" vertical="center"/>
      <protection hidden="1"/>
    </xf>
    <xf numFmtId="0" fontId="2" fillId="2" borderId="25" xfId="0" applyFont="1" applyFill="1" applyBorder="1" applyAlignment="1" applyProtection="1">
      <alignment horizontal="center" vertical="center"/>
      <protection hidden="1"/>
    </xf>
    <xf numFmtId="0" fontId="2" fillId="2" borderId="26" xfId="0" applyFont="1" applyFill="1" applyBorder="1" applyAlignment="1" applyProtection="1">
      <alignment horizontal="center" vertical="center"/>
      <protection hidden="1"/>
    </xf>
    <xf numFmtId="0" fontId="2" fillId="2" borderId="21" xfId="0" applyFont="1" applyFill="1" applyBorder="1" applyAlignment="1" applyProtection="1">
      <alignment horizontal="center" vertical="center"/>
      <protection hidden="1"/>
    </xf>
    <xf numFmtId="0" fontId="2" fillId="2" borderId="22" xfId="0" applyFont="1" applyFill="1" applyBorder="1" applyAlignment="1" applyProtection="1">
      <alignment horizontal="center" vertical="center"/>
      <protection hidden="1"/>
    </xf>
    <xf numFmtId="0" fontId="4" fillId="0" borderId="18" xfId="0" applyFont="1" applyBorder="1" applyAlignment="1" applyProtection="1">
      <alignment horizont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2" borderId="2" xfId="0" applyFont="1" applyFill="1" applyBorder="1" applyAlignment="1" applyProtection="1">
      <alignment horizontal="center" vertical="center"/>
      <protection hidden="1"/>
    </xf>
    <xf numFmtId="0" fontId="9" fillId="2" borderId="3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/>
      <protection hidden="1"/>
    </xf>
    <xf numFmtId="0" fontId="10" fillId="0" borderId="3" xfId="0" applyFont="1" applyBorder="1" applyAlignment="1" applyProtection="1">
      <alignment horizontal="center" vertical="center"/>
      <protection hidden="1"/>
    </xf>
    <xf numFmtId="0" fontId="10" fillId="0" borderId="6" xfId="0" applyFont="1" applyBorder="1" applyAlignment="1" applyProtection="1">
      <alignment horizontal="center" vertical="center"/>
      <protection hidden="1"/>
    </xf>
    <xf numFmtId="0" fontId="10" fillId="0" borderId="7" xfId="0" applyFont="1" applyBorder="1" applyAlignment="1" applyProtection="1">
      <alignment horizontal="center" vertical="center"/>
      <protection hidden="1"/>
    </xf>
    <xf numFmtId="0" fontId="10" fillId="0" borderId="8" xfId="0" applyFont="1" applyBorder="1" applyAlignment="1" applyProtection="1">
      <alignment horizontal="center" vertical="center"/>
      <protection hidden="1"/>
    </xf>
    <xf numFmtId="2" fontId="7" fillId="0" borderId="33" xfId="0" applyNumberFormat="1" applyFont="1" applyBorder="1" applyAlignment="1" applyProtection="1">
      <alignment horizontal="center" vertical="center"/>
      <protection hidden="1"/>
    </xf>
    <xf numFmtId="2" fontId="7" fillId="0" borderId="34" xfId="0" applyNumberFormat="1" applyFont="1" applyBorder="1" applyAlignment="1" applyProtection="1">
      <alignment horizontal="center" vertical="center"/>
      <protection hidden="1"/>
    </xf>
    <xf numFmtId="2" fontId="7" fillId="0" borderId="13" xfId="0" applyNumberFormat="1" applyFont="1" applyBorder="1" applyAlignment="1" applyProtection="1">
      <alignment horizontal="center" vertical="center"/>
      <protection hidden="1"/>
    </xf>
    <xf numFmtId="2" fontId="8" fillId="0" borderId="33" xfId="0" applyNumberFormat="1" applyFont="1" applyBorder="1" applyAlignment="1" applyProtection="1">
      <alignment horizontal="center" vertical="center"/>
      <protection hidden="1"/>
    </xf>
    <xf numFmtId="2" fontId="8" fillId="0" borderId="34" xfId="0" applyNumberFormat="1" applyFont="1" applyBorder="1" applyAlignment="1" applyProtection="1">
      <alignment horizontal="center" vertical="center"/>
      <protection hidden="1"/>
    </xf>
    <xf numFmtId="2" fontId="8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41" xfId="0" applyFont="1" applyBorder="1" applyAlignment="1" applyProtection="1">
      <alignment horizontal="center" vertical="center"/>
      <protection hidden="1"/>
    </xf>
    <xf numFmtId="0" fontId="10" fillId="0" borderId="42" xfId="0" applyFont="1" applyBorder="1" applyAlignment="1" applyProtection="1">
      <alignment horizontal="center" vertical="center"/>
      <protection hidden="1"/>
    </xf>
    <xf numFmtId="0" fontId="4" fillId="0" borderId="33" xfId="0" applyFont="1" applyBorder="1" applyAlignment="1" applyProtection="1">
      <alignment horizontal="center" vertical="center"/>
      <protection hidden="1"/>
    </xf>
    <xf numFmtId="0" fontId="4" fillId="0" borderId="34" xfId="0" applyFont="1" applyBorder="1" applyAlignment="1" applyProtection="1">
      <alignment horizontal="center" vertical="center"/>
      <protection hidden="1"/>
    </xf>
    <xf numFmtId="0" fontId="4" fillId="0" borderId="13" xfId="0" applyFont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0" fontId="11" fillId="0" borderId="3" xfId="0" applyFont="1" applyBorder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1" fillId="0" borderId="5" xfId="0" applyFont="1" applyBorder="1" applyAlignment="1" applyProtection="1">
      <alignment horizontal="center" vertical="center"/>
      <protection hidden="1"/>
    </xf>
    <xf numFmtId="0" fontId="11" fillId="0" borderId="6" xfId="0" applyFont="1" applyBorder="1" applyAlignment="1" applyProtection="1">
      <alignment horizontal="center" vertical="center"/>
      <protection hidden="1"/>
    </xf>
    <xf numFmtId="0" fontId="11" fillId="0" borderId="7" xfId="0" applyFont="1" applyBorder="1" applyAlignment="1" applyProtection="1">
      <alignment horizontal="center" vertical="center"/>
      <protection hidden="1"/>
    </xf>
    <xf numFmtId="0" fontId="11" fillId="0" borderId="8" xfId="0" applyFont="1" applyBorder="1" applyAlignment="1" applyProtection="1">
      <alignment horizontal="center" vertical="center"/>
      <protection hidden="1"/>
    </xf>
    <xf numFmtId="0" fontId="9" fillId="2" borderId="46" xfId="0" applyFont="1" applyFill="1" applyBorder="1" applyAlignment="1" applyProtection="1">
      <alignment horizontal="center" vertical="center"/>
      <protection hidden="1"/>
    </xf>
    <xf numFmtId="0" fontId="9" fillId="2" borderId="35" xfId="0" applyFont="1" applyFill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5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7" xfId="0" applyFont="1" applyBorder="1" applyAlignment="1" applyProtection="1">
      <alignment horizontal="center" vertical="center"/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2" fontId="8" fillId="0" borderId="47" xfId="0" applyNumberFormat="1" applyFont="1" applyBorder="1" applyAlignment="1" applyProtection="1">
      <alignment horizontal="center" vertical="center"/>
      <protection hidden="1"/>
    </xf>
    <xf numFmtId="2" fontId="8" fillId="0" borderId="43" xfId="0" applyNumberFormat="1" applyFont="1" applyBorder="1" applyAlignment="1" applyProtection="1">
      <alignment horizontal="center" vertical="center"/>
      <protection locked="0" hidden="1"/>
    </xf>
    <xf numFmtId="2" fontId="8" fillId="0" borderId="9" xfId="0" applyNumberFormat="1" applyFont="1" applyBorder="1" applyAlignment="1" applyProtection="1">
      <alignment horizontal="center" vertical="center"/>
      <protection hidden="1"/>
    </xf>
    <xf numFmtId="0" fontId="8" fillId="0" borderId="43" xfId="0" applyFont="1" applyBorder="1" applyAlignment="1" applyProtection="1">
      <alignment horizontal="center" vertical="center"/>
      <protection locked="0" hidden="1"/>
    </xf>
    <xf numFmtId="0" fontId="7" fillId="0" borderId="44" xfId="0" applyFont="1" applyBorder="1" applyAlignment="1" applyProtection="1">
      <alignment horizontal="center" vertical="center"/>
      <protection locked="0" hidden="1"/>
    </xf>
    <xf numFmtId="0" fontId="7" fillId="0" borderId="45" xfId="0" applyFont="1" applyBorder="1" applyAlignment="1" applyProtection="1">
      <alignment horizontal="center" vertical="center"/>
      <protection hidden="1"/>
    </xf>
    <xf numFmtId="2" fontId="7" fillId="0" borderId="44" xfId="0" applyNumberFormat="1" applyFont="1" applyBorder="1" applyAlignment="1" applyProtection="1">
      <alignment horizontal="center" vertical="center"/>
      <protection locked="0" hidden="1"/>
    </xf>
    <xf numFmtId="2" fontId="7" fillId="0" borderId="45" xfId="0" applyNumberFormat="1" applyFont="1" applyBorder="1" applyAlignment="1" applyProtection="1">
      <alignment horizontal="center"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154</xdr:row>
      <xdr:rowOff>38100</xdr:rowOff>
    </xdr:from>
    <xdr:to>
      <xdr:col>10</xdr:col>
      <xdr:colOff>323850</xdr:colOff>
      <xdr:row>163</xdr:row>
      <xdr:rowOff>161691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5" y="30308550"/>
          <a:ext cx="3819525" cy="1838091"/>
        </a:xfrm>
        <a:prstGeom prst="rect">
          <a:avLst/>
        </a:prstGeom>
      </xdr:spPr>
    </xdr:pic>
    <xdr:clientData/>
  </xdr:twoCellAnchor>
  <xdr:twoCellAnchor editAs="oneCell">
    <xdr:from>
      <xdr:col>3</xdr:col>
      <xdr:colOff>19049</xdr:colOff>
      <xdr:row>165</xdr:row>
      <xdr:rowOff>9526</xdr:rowOff>
    </xdr:from>
    <xdr:to>
      <xdr:col>10</xdr:col>
      <xdr:colOff>361949</xdr:colOff>
      <xdr:row>174</xdr:row>
      <xdr:rowOff>171450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4" y="32394526"/>
          <a:ext cx="3838575" cy="1876424"/>
        </a:xfrm>
        <a:prstGeom prst="rect">
          <a:avLst/>
        </a:prstGeom>
      </xdr:spPr>
    </xdr:pic>
    <xdr:clientData/>
  </xdr:twoCellAnchor>
  <xdr:twoCellAnchor editAs="oneCell">
    <xdr:from>
      <xdr:col>2</xdr:col>
      <xdr:colOff>285749</xdr:colOff>
      <xdr:row>176</xdr:row>
      <xdr:rowOff>0</xdr:rowOff>
    </xdr:from>
    <xdr:to>
      <xdr:col>10</xdr:col>
      <xdr:colOff>333375</xdr:colOff>
      <xdr:row>185</xdr:row>
      <xdr:rowOff>180975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4" y="34499550"/>
          <a:ext cx="3829051" cy="189547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187</xdr:row>
      <xdr:rowOff>1</xdr:rowOff>
    </xdr:from>
    <xdr:to>
      <xdr:col>10</xdr:col>
      <xdr:colOff>342900</xdr:colOff>
      <xdr:row>196</xdr:row>
      <xdr:rowOff>171450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5" y="36614101"/>
          <a:ext cx="3838575" cy="1885949"/>
        </a:xfrm>
        <a:prstGeom prst="rect">
          <a:avLst/>
        </a:prstGeom>
      </xdr:spPr>
    </xdr:pic>
    <xdr:clientData/>
  </xdr:twoCellAnchor>
  <xdr:twoCellAnchor editAs="oneCell">
    <xdr:from>
      <xdr:col>2</xdr:col>
      <xdr:colOff>285749</xdr:colOff>
      <xdr:row>198</xdr:row>
      <xdr:rowOff>1</xdr:rowOff>
    </xdr:from>
    <xdr:to>
      <xdr:col>10</xdr:col>
      <xdr:colOff>342899</xdr:colOff>
      <xdr:row>207</xdr:row>
      <xdr:rowOff>161926</xdr:rowOff>
    </xdr:to>
    <xdr:pic>
      <xdr:nvPicPr>
        <xdr:cNvPr id="7" name="Imagem 6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4" y="38719126"/>
          <a:ext cx="3838575" cy="188595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285749</xdr:colOff>
      <xdr:row>209</xdr:row>
      <xdr:rowOff>0</xdr:rowOff>
    </xdr:from>
    <xdr:to>
      <xdr:col>10</xdr:col>
      <xdr:colOff>352425</xdr:colOff>
      <xdr:row>218</xdr:row>
      <xdr:rowOff>190500</xdr:rowOff>
    </xdr:to>
    <xdr:pic>
      <xdr:nvPicPr>
        <xdr:cNvPr id="8" name="Imagem 7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4" y="40833675"/>
          <a:ext cx="3848101" cy="19050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220</xdr:row>
      <xdr:rowOff>0</xdr:rowOff>
    </xdr:from>
    <xdr:to>
      <xdr:col>10</xdr:col>
      <xdr:colOff>342900</xdr:colOff>
      <xdr:row>229</xdr:row>
      <xdr:rowOff>161925</xdr:rowOff>
    </xdr:to>
    <xdr:pic>
      <xdr:nvPicPr>
        <xdr:cNvPr id="9" name="Imagem 8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5" y="42948225"/>
          <a:ext cx="3838575" cy="187642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231</xdr:row>
      <xdr:rowOff>0</xdr:rowOff>
    </xdr:from>
    <xdr:to>
      <xdr:col>10</xdr:col>
      <xdr:colOff>352425</xdr:colOff>
      <xdr:row>240</xdr:row>
      <xdr:rowOff>180975</xdr:rowOff>
    </xdr:to>
    <xdr:pic>
      <xdr:nvPicPr>
        <xdr:cNvPr id="10" name="Imagem 9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75" y="45062775"/>
          <a:ext cx="3848100" cy="1895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O241"/>
  <sheetViews>
    <sheetView showGridLines="0" showRowColHeaders="0" tabSelected="1" zoomScaleNormal="100" workbookViewId="0">
      <selection activeCell="AC174" sqref="AC174"/>
    </sheetView>
  </sheetViews>
  <sheetFormatPr defaultRowHeight="15" x14ac:dyDescent="0.25"/>
  <cols>
    <col min="1" max="1" width="4.28515625" style="94" customWidth="1"/>
    <col min="2" max="2" width="5" style="94" customWidth="1"/>
    <col min="3" max="3" width="4.28515625" style="94" customWidth="1"/>
    <col min="4" max="4" width="5" style="94" customWidth="1"/>
    <col min="5" max="5" width="23.5703125" style="94" customWidth="1"/>
    <col min="6" max="6" width="4.42578125" style="94" customWidth="1"/>
    <col min="7" max="7" width="4.140625" style="94" customWidth="1"/>
    <col min="8" max="8" width="5" style="94" customWidth="1"/>
    <col min="9" max="9" width="5.28515625" style="94" customWidth="1"/>
    <col min="10" max="10" width="5" style="94" customWidth="1"/>
    <col min="11" max="11" width="5.42578125" style="94" customWidth="1"/>
    <col min="12" max="12" width="4" style="94" customWidth="1"/>
    <col min="13" max="13" width="6.5703125" style="94" customWidth="1"/>
    <col min="14" max="14" width="5" style="94" customWidth="1"/>
    <col min="15" max="15" width="7.28515625" style="94" customWidth="1"/>
    <col min="16" max="16" width="5.42578125" style="94" customWidth="1"/>
    <col min="17" max="17" width="5" style="94" customWidth="1"/>
    <col min="18" max="18" width="6" style="94" customWidth="1"/>
    <col min="19" max="20" width="5" style="94" customWidth="1"/>
    <col min="21" max="21" width="5.28515625" style="94" customWidth="1"/>
    <col min="22" max="22" width="5.85546875" style="94" customWidth="1"/>
    <col min="23" max="23" width="6.140625" style="94" customWidth="1"/>
    <col min="24" max="24" width="7.140625" style="94" customWidth="1"/>
    <col min="25" max="25" width="6.5703125" style="94" customWidth="1"/>
    <col min="26" max="31" width="5.42578125" style="94" customWidth="1"/>
    <col min="32" max="32" width="7" style="94" customWidth="1"/>
    <col min="33" max="34" width="13" style="94" bestFit="1" customWidth="1"/>
    <col min="35" max="35" width="9.5703125" style="94" bestFit="1" customWidth="1"/>
    <col min="36" max="16384" width="9.140625" style="94"/>
  </cols>
  <sheetData>
    <row r="1" spans="2:41" s="38" customFormat="1" ht="15.75" thickBot="1" x14ac:dyDescent="0.3"/>
    <row r="2" spans="2:41" s="38" customFormat="1" x14ac:dyDescent="0.25">
      <c r="B2" s="119" t="s">
        <v>39</v>
      </c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1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</row>
    <row r="3" spans="2:41" s="38" customFormat="1" x14ac:dyDescent="0.25">
      <c r="B3" s="12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4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</row>
    <row r="4" spans="2:41" s="38" customFormat="1" ht="15.75" thickBot="1" x14ac:dyDescent="0.3">
      <c r="B4" s="125"/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7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</row>
    <row r="5" spans="2:41" s="38" customFormat="1" x14ac:dyDescent="0.25"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</row>
    <row r="6" spans="2:41" s="38" customFormat="1" ht="15.75" thickBot="1" x14ac:dyDescent="0.3">
      <c r="Q6" s="39"/>
      <c r="R6" s="39" t="s">
        <v>6</v>
      </c>
      <c r="S6" s="39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1"/>
      <c r="AJ6" s="41"/>
      <c r="AK6" s="41"/>
    </row>
    <row r="7" spans="2:41" s="38" customFormat="1" ht="15" customHeight="1" x14ac:dyDescent="0.25">
      <c r="D7" s="128" t="s">
        <v>0</v>
      </c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30"/>
      <c r="Q7" s="39"/>
      <c r="R7" s="39" t="s">
        <v>15</v>
      </c>
      <c r="S7" s="39"/>
      <c r="T7" s="40"/>
      <c r="U7" s="40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3"/>
      <c r="AJ7" s="43"/>
      <c r="AK7" s="44"/>
      <c r="AL7" s="44"/>
      <c r="AM7" s="44"/>
      <c r="AN7" s="41"/>
    </row>
    <row r="8" spans="2:41" s="38" customFormat="1" ht="15.75" customHeight="1" thickBot="1" x14ac:dyDescent="0.3">
      <c r="D8" s="131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3"/>
      <c r="Q8" s="39"/>
      <c r="R8" s="39" t="s">
        <v>47</v>
      </c>
      <c r="S8" s="39"/>
      <c r="T8" s="40"/>
      <c r="U8" s="40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4"/>
      <c r="AJ8" s="43"/>
      <c r="AK8" s="45"/>
      <c r="AL8" s="45"/>
      <c r="AM8" s="44"/>
      <c r="AN8" s="41"/>
    </row>
    <row r="9" spans="2:41" s="38" customFormat="1" ht="15.75" thickBot="1" x14ac:dyDescent="0.3">
      <c r="D9" s="19" t="s">
        <v>1</v>
      </c>
      <c r="E9" s="20" t="s">
        <v>2</v>
      </c>
      <c r="F9" s="1" t="s">
        <v>40</v>
      </c>
      <c r="G9" s="1" t="s">
        <v>3</v>
      </c>
      <c r="H9" s="1" t="s">
        <v>41</v>
      </c>
      <c r="I9" s="1" t="s">
        <v>42</v>
      </c>
      <c r="J9" s="1" t="s">
        <v>43</v>
      </c>
      <c r="K9" s="1" t="s">
        <v>44</v>
      </c>
      <c r="L9" s="1" t="s">
        <v>46</v>
      </c>
      <c r="M9" s="1" t="s">
        <v>4</v>
      </c>
      <c r="N9" s="1" t="s">
        <v>5</v>
      </c>
      <c r="O9" s="2" t="s">
        <v>45</v>
      </c>
      <c r="Q9" s="39"/>
      <c r="R9" s="39" t="s">
        <v>48</v>
      </c>
      <c r="S9" s="39"/>
      <c r="T9" s="40"/>
      <c r="U9" s="46" t="s">
        <v>1</v>
      </c>
      <c r="V9" s="47" t="s">
        <v>7</v>
      </c>
      <c r="W9" s="48" t="s">
        <v>40</v>
      </c>
      <c r="X9" s="46" t="s">
        <v>3</v>
      </c>
      <c r="Y9" s="46" t="s">
        <v>41</v>
      </c>
      <c r="Z9" s="46" t="s">
        <v>42</v>
      </c>
      <c r="AA9" s="46" t="s">
        <v>43</v>
      </c>
      <c r="AB9" s="46" t="s">
        <v>44</v>
      </c>
      <c r="AC9" s="46" t="s">
        <v>8</v>
      </c>
      <c r="AD9" s="46" t="s">
        <v>9</v>
      </c>
      <c r="AE9" s="46" t="s">
        <v>10</v>
      </c>
      <c r="AF9" s="46" t="s">
        <v>45</v>
      </c>
      <c r="AG9" s="46" t="s">
        <v>11</v>
      </c>
      <c r="AH9" s="46" t="s">
        <v>12</v>
      </c>
      <c r="AI9" s="46" t="s">
        <v>13</v>
      </c>
      <c r="AJ9" s="41"/>
      <c r="AK9" s="49"/>
      <c r="AL9" s="49"/>
      <c r="AM9" s="49"/>
      <c r="AN9" s="49"/>
      <c r="AO9" s="49"/>
    </row>
    <row r="10" spans="2:41" s="38" customFormat="1" x14ac:dyDescent="0.25">
      <c r="D10" s="5" t="s">
        <v>14</v>
      </c>
      <c r="E10" s="6" t="str">
        <f>VLOOKUP(AI10,$U$10:$AH$13,2)</f>
        <v>Engenheirense</v>
      </c>
      <c r="F10" s="17">
        <f>VLOOKUP(AI10,$U$10:$AH$13,3)</f>
        <v>6</v>
      </c>
      <c r="G10" s="17">
        <f>VLOOKUP(AI10,$U$10:$AH$13,4)</f>
        <v>13</v>
      </c>
      <c r="H10" s="18">
        <f>VLOOKUP(AI10,$U$10:$AH$13,5)</f>
        <v>3</v>
      </c>
      <c r="I10" s="18">
        <f>VLOOKUP(AI10,$U$10:$AH$13,6)</f>
        <v>2</v>
      </c>
      <c r="J10" s="18">
        <f>VLOOKUP(AI10,$U$10:$AH$13,7)</f>
        <v>0</v>
      </c>
      <c r="K10" s="18">
        <f>VLOOKUP(AI10,$U$10:$AH$13,8)</f>
        <v>1</v>
      </c>
      <c r="L10" s="18">
        <f>VLOOKUP(AI10,$U$10:$AH$13,9)</f>
        <v>331</v>
      </c>
      <c r="M10" s="18">
        <f>VLOOKUP(AI10,$U$10:$AH$13,10)</f>
        <v>296</v>
      </c>
      <c r="N10" s="17">
        <f>VLOOKUP(AI10,$U$10:$AH$13,11)</f>
        <v>35</v>
      </c>
      <c r="O10" s="34">
        <f>VLOOKUP(AI10,$U$10:$AH$13,12)</f>
        <v>0.72222222222222221</v>
      </c>
      <c r="Q10" s="39"/>
      <c r="R10" s="39" t="s">
        <v>49</v>
      </c>
      <c r="S10" s="39"/>
      <c r="T10" s="40"/>
      <c r="U10" s="46">
        <v>1</v>
      </c>
      <c r="V10" s="44" t="s">
        <v>69</v>
      </c>
      <c r="W10" s="50">
        <f>COUNT(H36,H43,H49,H18,H25,H31)</f>
        <v>6</v>
      </c>
      <c r="X10" s="50">
        <f>SUM(Q18,Q25,Q31,Q36,Q43,Q49)</f>
        <v>2</v>
      </c>
      <c r="Y10" s="50">
        <f>SUM(COUNTIFS($C$18:$C$49,3,$D$18:$D$49,V10),COUNTIFS($I$18:$I$49,V10,$Q$18:$Q$49,3))</f>
        <v>0</v>
      </c>
      <c r="Z10" s="50">
        <f>SUM(COUNTIFS($C$18:$C$49,2,$D$18:$D$49,V10),COUNTIFS($I$18:$I$49,V10,$Q$18:$Q$49,2))</f>
        <v>1</v>
      </c>
      <c r="AA10" s="50">
        <f>SUM(COUNTIFS($C$18:$C$49,1,$D$18:$D$49,V10),COUNTIFS($I$18:$I$49,V10,$Q$18:$Q$49,1))</f>
        <v>0</v>
      </c>
      <c r="AB10" s="50">
        <f>SUM(COUNTIFS($C$18:$C$49,0,$D$18:$D$49,V10),COUNTIFS($I$18:$I$49,V10,$Q$18:$Q$49,0))</f>
        <v>5</v>
      </c>
      <c r="AC10" s="50">
        <f>SUM(H36,H43,H49,H18,H25,H31)</f>
        <v>252</v>
      </c>
      <c r="AD10" s="50">
        <f>SUM(F18,F25,F31,F36,F43,F49)</f>
        <v>361</v>
      </c>
      <c r="AE10" s="50">
        <f>AC10-AD10</f>
        <v>-109</v>
      </c>
      <c r="AF10" s="50">
        <f>IF(OR($F$18="",$H$18=""),0,(X10/(W10*3)))</f>
        <v>0.1111111111111111</v>
      </c>
      <c r="AG10" s="51">
        <f>(X10*10^15)+((AC10+5000)*10^6)+AE10*10+U10</f>
        <v>2000005251998911</v>
      </c>
      <c r="AH10" s="51">
        <f>LARGE($AG$10:$AG$13,U10)</f>
        <v>1.3000005331000354E+16</v>
      </c>
      <c r="AI10" s="51">
        <f>MATCH(AH10,$AG$10:$AG$13,0)</f>
        <v>4</v>
      </c>
      <c r="AJ10" s="44"/>
      <c r="AK10" s="45"/>
      <c r="AL10" s="45"/>
      <c r="AM10" s="44"/>
      <c r="AN10" s="41"/>
    </row>
    <row r="11" spans="2:41" s="38" customFormat="1" x14ac:dyDescent="0.25">
      <c r="D11" s="8" t="s">
        <v>16</v>
      </c>
      <c r="E11" s="9" t="str">
        <f t="shared" ref="E11:E13" si="0">VLOOKUP(AI11,$U$10:$AH$13,2)</f>
        <v>Botafogo Rocha</v>
      </c>
      <c r="F11" s="3">
        <f t="shared" ref="F11:F13" si="1">VLOOKUP(AI11,$U$10:$AH$13,3)</f>
        <v>6</v>
      </c>
      <c r="G11" s="3">
        <f t="shared" ref="G11:G13" si="2">VLOOKUP(AI11,$U$10:$AH$13,4)</f>
        <v>11</v>
      </c>
      <c r="H11" s="7">
        <f t="shared" ref="H11:H13" si="3">VLOOKUP(AI11,$U$10:$AH$13,5)</f>
        <v>3</v>
      </c>
      <c r="I11" s="7">
        <f t="shared" ref="I11:I13" si="4">VLOOKUP(AI11,$U$10:$AH$13,6)</f>
        <v>1</v>
      </c>
      <c r="J11" s="7">
        <f t="shared" ref="J11:J13" si="5">VLOOKUP(AI11,$U$10:$AH$13,7)</f>
        <v>0</v>
      </c>
      <c r="K11" s="7">
        <f t="shared" ref="K11:K13" si="6">VLOOKUP(AI11,$U$10:$AH$13,8)</f>
        <v>2</v>
      </c>
      <c r="L11" s="7">
        <f t="shared" ref="L11:L13" si="7">VLOOKUP(AI11,$U$10:$AH$13,9)</f>
        <v>319</v>
      </c>
      <c r="M11" s="7">
        <f t="shared" ref="M11:M13" si="8">VLOOKUP(AI11,$U$10:$AH$13,10)</f>
        <v>270</v>
      </c>
      <c r="N11" s="3">
        <f t="shared" ref="N11:N13" si="9">VLOOKUP(AI11,$U$10:$AH$13,11)</f>
        <v>49</v>
      </c>
      <c r="O11" s="35">
        <f t="shared" ref="O11:O13" si="10">VLOOKUP(AI11,$U$10:$AH$13,12)</f>
        <v>0.61111111111111116</v>
      </c>
      <c r="Q11" s="39"/>
      <c r="R11" s="39" t="s">
        <v>50</v>
      </c>
      <c r="S11" s="39"/>
      <c r="T11" s="40"/>
      <c r="U11" s="46">
        <v>2</v>
      </c>
      <c r="V11" s="44" t="s">
        <v>65</v>
      </c>
      <c r="W11" s="50">
        <f>COUNT(H19,H24,F31,H37,H42,F49)</f>
        <v>6</v>
      </c>
      <c r="X11" s="50">
        <f>SUM(Q19,Q24,C31,Q37,Q42,C49)</f>
        <v>11</v>
      </c>
      <c r="Y11" s="50">
        <f t="shared" ref="Y11:Y13" si="11">SUM(COUNTIFS($C$18:$C$49,3,$D$18:$D$49,V11),COUNTIFS($I$18:$I$49,V11,$Q$18:$Q$49,3))</f>
        <v>3</v>
      </c>
      <c r="Z11" s="50">
        <f t="shared" ref="Z11:Z13" si="12">SUM(COUNTIFS($C$18:$C$49,2,$D$18:$D$49,V11),COUNTIFS($I$18:$I$49,V11,$Q$18:$Q$49,2))</f>
        <v>1</v>
      </c>
      <c r="AA11" s="50">
        <f t="shared" ref="AA11:AA13" si="13">SUM(COUNTIFS($C$18:$C$49,1,$D$18:$D$49,V11),COUNTIFS($I$18:$I$49,V11,$Q$18:$Q$49,1))</f>
        <v>0</v>
      </c>
      <c r="AB11" s="50">
        <f t="shared" ref="AB11:AB13" si="14">SUM(COUNTIFS($C$18:$C$49,0,$D$18:$D$49,V11),COUNTIFS($I$18:$I$49,V11,$Q$18:$Q$49,0))</f>
        <v>2</v>
      </c>
      <c r="AC11" s="50">
        <f>SUM(H19,H24,F31,H37,H42,F49)</f>
        <v>319</v>
      </c>
      <c r="AD11" s="50">
        <f>SUM(H49,F42,F37,H31,F24,F19)</f>
        <v>270</v>
      </c>
      <c r="AE11" s="50">
        <f t="shared" ref="AE11:AE13" si="15">AC11-AD11</f>
        <v>49</v>
      </c>
      <c r="AF11" s="50">
        <f t="shared" ref="AF11:AF13" si="16">IF(OR($F$18="",$H$18=""),0,(X11/(W11*3)))</f>
        <v>0.61111111111111116</v>
      </c>
      <c r="AG11" s="51">
        <f>(X11*10^15)+((AC11+5000)*10^6)+AE11*10+U11</f>
        <v>1.1000005319000492E+16</v>
      </c>
      <c r="AH11" s="51">
        <f t="shared" ref="AH11:AH13" si="17">LARGE($AG$10:$AG$13,U11)</f>
        <v>1.1000005319000492E+16</v>
      </c>
      <c r="AI11" s="51">
        <f t="shared" ref="AI11:AI13" si="18">MATCH(AH11,$AG$10:$AG$13,0)</f>
        <v>2</v>
      </c>
      <c r="AJ11" s="44"/>
      <c r="AK11" s="45"/>
      <c r="AL11" s="45"/>
      <c r="AM11" s="44"/>
      <c r="AN11" s="41"/>
    </row>
    <row r="12" spans="2:41" s="38" customFormat="1" x14ac:dyDescent="0.25">
      <c r="D12" s="10" t="s">
        <v>17</v>
      </c>
      <c r="E12" s="11" t="str">
        <f t="shared" si="0"/>
        <v>.In$a.nyo$.Br</v>
      </c>
      <c r="F12" s="4">
        <f t="shared" si="1"/>
        <v>6</v>
      </c>
      <c r="G12" s="4">
        <f t="shared" si="2"/>
        <v>6</v>
      </c>
      <c r="H12" s="12">
        <f t="shared" si="3"/>
        <v>2</v>
      </c>
      <c r="I12" s="12">
        <f t="shared" si="4"/>
        <v>0</v>
      </c>
      <c r="J12" s="12">
        <f t="shared" si="5"/>
        <v>0</v>
      </c>
      <c r="K12" s="12">
        <f t="shared" si="6"/>
        <v>4</v>
      </c>
      <c r="L12" s="12">
        <f t="shared" si="7"/>
        <v>340</v>
      </c>
      <c r="M12" s="12">
        <f t="shared" si="8"/>
        <v>315</v>
      </c>
      <c r="N12" s="4">
        <f t="shared" si="9"/>
        <v>25</v>
      </c>
      <c r="O12" s="36">
        <f t="shared" si="10"/>
        <v>0.33333333333333331</v>
      </c>
      <c r="Q12" s="40"/>
      <c r="R12" s="39" t="s">
        <v>51</v>
      </c>
      <c r="S12" s="39"/>
      <c r="T12" s="40"/>
      <c r="U12" s="46">
        <v>3</v>
      </c>
      <c r="V12" s="44" t="s">
        <v>63</v>
      </c>
      <c r="W12" s="50">
        <f>COUNT(H48,F43,F37,H30,F25,F19)</f>
        <v>6</v>
      </c>
      <c r="X12" s="50">
        <f>SUM(C19,C25,Q30,C37,C43,Q48)</f>
        <v>6</v>
      </c>
      <c r="Y12" s="50">
        <f t="shared" si="11"/>
        <v>2</v>
      </c>
      <c r="Z12" s="50">
        <f t="shared" si="12"/>
        <v>0</v>
      </c>
      <c r="AA12" s="50">
        <f t="shared" si="13"/>
        <v>0</v>
      </c>
      <c r="AB12" s="50">
        <f t="shared" si="14"/>
        <v>4</v>
      </c>
      <c r="AC12" s="50">
        <f>SUM(H48,F43,F37,H30,F25,F19)</f>
        <v>340</v>
      </c>
      <c r="AD12" s="50">
        <f>SUM(H19,H25,F30,H37,H43,F48)</f>
        <v>315</v>
      </c>
      <c r="AE12" s="50">
        <f t="shared" si="15"/>
        <v>25</v>
      </c>
      <c r="AF12" s="50">
        <f t="shared" si="16"/>
        <v>0.33333333333333331</v>
      </c>
      <c r="AG12" s="51">
        <f>(X12*10^15)+((AC12+5000)*10^6)+AE12*10+U12</f>
        <v>6000005340000253</v>
      </c>
      <c r="AH12" s="51">
        <f t="shared" si="17"/>
        <v>6000005340000253</v>
      </c>
      <c r="AI12" s="51">
        <f t="shared" si="18"/>
        <v>3</v>
      </c>
      <c r="AJ12" s="44"/>
      <c r="AK12" s="45"/>
      <c r="AL12" s="45"/>
      <c r="AM12" s="44"/>
      <c r="AN12" s="41"/>
    </row>
    <row r="13" spans="2:41" s="38" customFormat="1" ht="15.75" thickBot="1" x14ac:dyDescent="0.3">
      <c r="D13" s="13" t="s">
        <v>18</v>
      </c>
      <c r="E13" s="14" t="str">
        <f t="shared" si="0"/>
        <v>Stars United</v>
      </c>
      <c r="F13" s="15">
        <f t="shared" si="1"/>
        <v>6</v>
      </c>
      <c r="G13" s="15">
        <f t="shared" si="2"/>
        <v>2</v>
      </c>
      <c r="H13" s="16">
        <f t="shared" si="3"/>
        <v>0</v>
      </c>
      <c r="I13" s="16">
        <f t="shared" si="4"/>
        <v>1</v>
      </c>
      <c r="J13" s="16">
        <f t="shared" si="5"/>
        <v>0</v>
      </c>
      <c r="K13" s="16">
        <f t="shared" si="6"/>
        <v>5</v>
      </c>
      <c r="L13" s="16">
        <f t="shared" si="7"/>
        <v>252</v>
      </c>
      <c r="M13" s="16">
        <f t="shared" si="8"/>
        <v>361</v>
      </c>
      <c r="N13" s="15">
        <f t="shared" si="9"/>
        <v>-109</v>
      </c>
      <c r="O13" s="37">
        <f t="shared" si="10"/>
        <v>0.1111111111111111</v>
      </c>
      <c r="Q13" s="40"/>
      <c r="R13" s="39" t="s">
        <v>52</v>
      </c>
      <c r="S13" s="39"/>
      <c r="T13" s="40"/>
      <c r="U13" s="46">
        <v>4</v>
      </c>
      <c r="V13" s="44" t="s">
        <v>62</v>
      </c>
      <c r="W13" s="50">
        <f>COUNT(H48,H42,H36,H30,H24,H18)</f>
        <v>6</v>
      </c>
      <c r="X13" s="50">
        <f>SUM(C18,C24,C30,C36,C42,C48)</f>
        <v>13</v>
      </c>
      <c r="Y13" s="50">
        <f t="shared" si="11"/>
        <v>3</v>
      </c>
      <c r="Z13" s="50">
        <f t="shared" si="12"/>
        <v>2</v>
      </c>
      <c r="AA13" s="50">
        <f t="shared" si="13"/>
        <v>0</v>
      </c>
      <c r="AB13" s="50">
        <f t="shared" si="14"/>
        <v>1</v>
      </c>
      <c r="AC13" s="50">
        <f>SUM(F18,F24,F30,F36,F42,F48)</f>
        <v>331</v>
      </c>
      <c r="AD13" s="50">
        <f>SUM(H48,H42,H36,H30,H24,H18)</f>
        <v>296</v>
      </c>
      <c r="AE13" s="50">
        <f t="shared" si="15"/>
        <v>35</v>
      </c>
      <c r="AF13" s="50">
        <f t="shared" si="16"/>
        <v>0.72222222222222221</v>
      </c>
      <c r="AG13" s="51">
        <f>(X13*10^15)+((AC13+5000)*10^6)+AE13*10+U13</f>
        <v>1.3000005331000354E+16</v>
      </c>
      <c r="AH13" s="51">
        <f t="shared" si="17"/>
        <v>2000005251998911</v>
      </c>
      <c r="AI13" s="51">
        <f t="shared" si="18"/>
        <v>1</v>
      </c>
      <c r="AJ13" s="44"/>
      <c r="AK13" s="45"/>
      <c r="AL13" s="45"/>
      <c r="AM13" s="44"/>
      <c r="AN13" s="41"/>
    </row>
    <row r="14" spans="2:41" s="38" customFormat="1" ht="15.75" thickBot="1" x14ac:dyDescent="0.3">
      <c r="Q14" s="40"/>
      <c r="R14" s="39" t="s">
        <v>19</v>
      </c>
      <c r="S14" s="39"/>
      <c r="T14" s="40"/>
      <c r="U14" s="41"/>
      <c r="V14" s="44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44"/>
      <c r="AK14" s="45"/>
      <c r="AL14" s="45"/>
      <c r="AM14" s="44"/>
      <c r="AN14" s="41"/>
    </row>
    <row r="15" spans="2:41" s="38" customFormat="1" ht="15.75" thickBot="1" x14ac:dyDescent="0.3">
      <c r="C15" s="41"/>
      <c r="D15" s="134" t="s">
        <v>20</v>
      </c>
      <c r="E15" s="135"/>
      <c r="F15" s="135"/>
      <c r="G15" s="135"/>
      <c r="H15" s="135"/>
      <c r="I15" s="135"/>
      <c r="J15" s="135"/>
      <c r="K15" s="135"/>
      <c r="L15" s="135"/>
      <c r="M15" s="135"/>
      <c r="N15" s="135"/>
      <c r="O15" s="135"/>
      <c r="P15" s="136"/>
      <c r="Q15" s="40"/>
      <c r="R15" s="39" t="s">
        <v>53</v>
      </c>
      <c r="S15" s="39"/>
      <c r="T15" s="40"/>
      <c r="U15" s="41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5"/>
      <c r="AL15" s="45"/>
      <c r="AM15" s="45"/>
    </row>
    <row r="16" spans="2:41" s="38" customFormat="1" ht="15.75" thickBot="1" x14ac:dyDescent="0.3">
      <c r="C16" s="41"/>
      <c r="D16" s="137"/>
      <c r="E16" s="138"/>
      <c r="F16" s="138"/>
      <c r="G16" s="138"/>
      <c r="H16" s="138"/>
      <c r="I16" s="138"/>
      <c r="J16" s="138"/>
      <c r="K16" s="138"/>
      <c r="L16" s="138"/>
      <c r="M16" s="138"/>
      <c r="N16" s="138"/>
      <c r="O16" s="138"/>
      <c r="P16" s="139"/>
      <c r="Q16" s="40"/>
      <c r="R16" s="52"/>
      <c r="S16" s="39" t="s">
        <v>54</v>
      </c>
      <c r="T16" s="40"/>
      <c r="U16" s="40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3"/>
      <c r="AJ16" s="43"/>
      <c r="AK16" s="45"/>
      <c r="AL16" s="45"/>
      <c r="AM16" s="45"/>
    </row>
    <row r="17" spans="2:39" s="38" customFormat="1" ht="15.75" thickBot="1" x14ac:dyDescent="0.3">
      <c r="C17" s="41"/>
      <c r="Q17" s="41"/>
      <c r="R17" s="53"/>
      <c r="S17" s="39" t="s">
        <v>55</v>
      </c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54"/>
      <c r="AJ17" s="54"/>
      <c r="AK17" s="41"/>
      <c r="AL17" s="39"/>
      <c r="AM17" s="39"/>
    </row>
    <row r="18" spans="2:39" s="38" customFormat="1" x14ac:dyDescent="0.25">
      <c r="B18" s="41"/>
      <c r="C18" s="41">
        <f>IF(OR(F18="",H18=""),"",IF(F18=H18,1,IF(F18&lt;H18,0,IF(F18-H18&lt;10,2,IF(F18&gt;H18,3,SE)))))</f>
        <v>3</v>
      </c>
      <c r="D18" s="140" t="str">
        <f>V13</f>
        <v>Engenheirense</v>
      </c>
      <c r="E18" s="140"/>
      <c r="F18" s="55">
        <v>77</v>
      </c>
      <c r="G18" s="56" t="s">
        <v>21</v>
      </c>
      <c r="H18" s="57">
        <v>54</v>
      </c>
      <c r="I18" s="140" t="str">
        <f>V10</f>
        <v>Stars United</v>
      </c>
      <c r="J18" s="140"/>
      <c r="K18" s="140"/>
      <c r="L18" s="140"/>
      <c r="M18" s="140"/>
      <c r="N18" s="140"/>
      <c r="O18" s="140"/>
      <c r="P18" s="140"/>
      <c r="Q18" s="41">
        <f>IF(OR(H18="",F18=""),"",IF(H18=F18,1,IF(H18&lt;F18,0,IF(H18-F18&lt;10,2,IF(H18&gt;F18,3,SE)))))</f>
        <v>0</v>
      </c>
      <c r="R18" s="39"/>
      <c r="S18" s="39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54"/>
      <c r="AJ18" s="54"/>
      <c r="AK18" s="41"/>
      <c r="AL18" s="39"/>
      <c r="AM18" s="39"/>
    </row>
    <row r="19" spans="2:39" s="38" customFormat="1" x14ac:dyDescent="0.25">
      <c r="B19" s="41"/>
      <c r="C19" s="41">
        <f>IF(OR(F19="",H19=""),"",IF(F19=H19,1,IF(F19&lt;H19,0,IF(F19-H19&lt;10,2,IF(F19&gt;H19,3,SE)))))</f>
        <v>0</v>
      </c>
      <c r="D19" s="140" t="str">
        <f>V12</f>
        <v>.In$a.nyo$.Br</v>
      </c>
      <c r="E19" s="140"/>
      <c r="F19" s="57">
        <v>57</v>
      </c>
      <c r="G19" s="56" t="s">
        <v>21</v>
      </c>
      <c r="H19" s="55">
        <v>64</v>
      </c>
      <c r="I19" s="140" t="str">
        <f>V11</f>
        <v>Botafogo Rocha</v>
      </c>
      <c r="J19" s="140"/>
      <c r="K19" s="140"/>
      <c r="L19" s="140"/>
      <c r="M19" s="140"/>
      <c r="N19" s="140"/>
      <c r="O19" s="140"/>
      <c r="P19" s="140"/>
      <c r="Q19" s="41">
        <f>IF(OR(H19="",F19=""),"",IF(H19=F19,1,IF(H19&lt;F19,0,IF(H19-F19&lt;10,2,IF(H19&gt;F19,3,SE)))))</f>
        <v>2</v>
      </c>
      <c r="R19" s="39"/>
      <c r="S19" s="39"/>
      <c r="T19" s="54"/>
      <c r="U19" s="54" t="s">
        <v>22</v>
      </c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41"/>
      <c r="AL19" s="39"/>
      <c r="AM19" s="39"/>
    </row>
    <row r="20" spans="2:39" s="38" customFormat="1" ht="15.75" thickBot="1" x14ac:dyDescent="0.3">
      <c r="B20" s="41"/>
      <c r="C20" s="41" t="str">
        <f>IF(OR(F20="",H20=""),"",IF(F20=H20,1,IF(F20&lt;H20,0,IF(F20-H20&lt;10,2,IF(F20&gt;H20,3,SE)))))</f>
        <v/>
      </c>
      <c r="Q20" s="41" t="str">
        <f>IF(OR(H20="",F20=""),"",IF(H20=F20,1,IF(H20&lt;F20,0,IF(H20-F20&lt;10,2,IF(H20&gt;F20,3,SE)))))</f>
        <v/>
      </c>
      <c r="R20" s="39"/>
      <c r="S20" s="39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41"/>
      <c r="AL20" s="39"/>
      <c r="AM20" s="39"/>
    </row>
    <row r="21" spans="2:39" s="38" customFormat="1" x14ac:dyDescent="0.25">
      <c r="B21" s="41"/>
      <c r="C21" s="41" t="str">
        <f>IF(OR(F21="",H21=""),"",IF(F21=H21,1,IF(F21&lt;H21,0,IF(F21-H21&lt;10,2,IF(F21&gt;H21,3,SE)))))</f>
        <v/>
      </c>
      <c r="D21" s="128" t="s">
        <v>23</v>
      </c>
      <c r="E21" s="129"/>
      <c r="F21" s="129"/>
      <c r="G21" s="129"/>
      <c r="H21" s="129"/>
      <c r="I21" s="129"/>
      <c r="J21" s="129"/>
      <c r="K21" s="129"/>
      <c r="L21" s="129"/>
      <c r="M21" s="129"/>
      <c r="N21" s="129"/>
      <c r="O21" s="129"/>
      <c r="P21" s="130"/>
      <c r="Q21" s="41" t="str">
        <f>IF(OR(H21="",F21=""),"",IF(H21=F21,1,IF(H21&lt;F21,0,IF(H21-F21&lt;10,2,IF(H21&gt;F21,3,SE)))))</f>
        <v/>
      </c>
      <c r="R21" s="39"/>
      <c r="S21" s="39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41"/>
    </row>
    <row r="22" spans="2:39" s="38" customFormat="1" ht="15.75" thickBot="1" x14ac:dyDescent="0.3">
      <c r="B22" s="41"/>
      <c r="C22" s="41" t="str">
        <f>IF(OR(F22="",H22=""),"",IF(F22=H22,1,IF(F22&lt;H22,0,IF(F22-H22&lt;10,2,IF(F22&gt;H22,3,SE)))))</f>
        <v/>
      </c>
      <c r="D22" s="131"/>
      <c r="E22" s="132"/>
      <c r="F22" s="132"/>
      <c r="G22" s="132"/>
      <c r="H22" s="132"/>
      <c r="I22" s="132"/>
      <c r="J22" s="132"/>
      <c r="K22" s="132"/>
      <c r="L22" s="132"/>
      <c r="M22" s="132"/>
      <c r="N22" s="132"/>
      <c r="O22" s="132"/>
      <c r="P22" s="133"/>
      <c r="Q22" s="41" t="str">
        <f>IF(OR(H22="",F22=""),"",IF(H22=F22,1,IF(H22&lt;F22,0,IF(H22-F22&lt;10,2,IF(H22&gt;F22,3,SE)))))</f>
        <v/>
      </c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41"/>
    </row>
    <row r="23" spans="2:39" s="38" customFormat="1" x14ac:dyDescent="0.25">
      <c r="B23" s="41"/>
      <c r="C23" s="41" t="str">
        <f>IF(OR(F23="",H23=""),"",IF(F23=H23,1,IF(F23&lt;H23,0,IF(F23-H23&lt;10,2,IF(F23&gt;H23,3,SE)))))</f>
        <v/>
      </c>
      <c r="Q23" s="41" t="str">
        <f>IF(OR(H23="",F23=""),"",IF(H23=F23,1,IF(H23&lt;F23,0,IF(H23-F23&lt;10,2,IF(H23&gt;F23,3,SE)))))</f>
        <v/>
      </c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41"/>
    </row>
    <row r="24" spans="2:39" s="38" customFormat="1" x14ac:dyDescent="0.25">
      <c r="B24" s="41"/>
      <c r="C24" s="41">
        <f>IF(OR(F24="",H24=""),"",IF(F24=H24,1,IF(F24&lt;H24,0,IF(F24-H24&lt;10,2,IF(F24&gt;H24,3,SE)))))</f>
        <v>3</v>
      </c>
      <c r="D24" s="140" t="str">
        <f>V13</f>
        <v>Engenheirense</v>
      </c>
      <c r="E24" s="140"/>
      <c r="F24" s="55">
        <v>41</v>
      </c>
      <c r="G24" s="58" t="s">
        <v>21</v>
      </c>
      <c r="H24" s="57">
        <v>26</v>
      </c>
      <c r="I24" s="140" t="str">
        <f>V11</f>
        <v>Botafogo Rocha</v>
      </c>
      <c r="J24" s="140"/>
      <c r="K24" s="140"/>
      <c r="L24" s="140"/>
      <c r="M24" s="140"/>
      <c r="N24" s="140"/>
      <c r="O24" s="140"/>
      <c r="P24" s="140"/>
      <c r="Q24" s="41">
        <f>IF(OR(H24="",F24=""),"",IF(H24=F24,1,IF(H24&lt;F24,0,IF(H24-F24&lt;10,2,IF(H24&gt;F24,3,SE)))))</f>
        <v>0</v>
      </c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41"/>
    </row>
    <row r="25" spans="2:39" s="38" customFormat="1" x14ac:dyDescent="0.25">
      <c r="B25" s="41"/>
      <c r="C25" s="41">
        <f>IF(OR(F25="",H25=""),"",IF(F25=H25,1,IF(F25&lt;H25,0,IF(F25-H25&lt;10,2,IF(F25&gt;H25,3,SE)))))</f>
        <v>0</v>
      </c>
      <c r="D25" s="140" t="str">
        <f>V12</f>
        <v>.In$a.nyo$.Br</v>
      </c>
      <c r="E25" s="140"/>
      <c r="F25" s="57">
        <v>38</v>
      </c>
      <c r="G25" s="58" t="s">
        <v>21</v>
      </c>
      <c r="H25" s="55">
        <v>40</v>
      </c>
      <c r="I25" s="140" t="str">
        <f>V10</f>
        <v>Stars United</v>
      </c>
      <c r="J25" s="140"/>
      <c r="K25" s="140"/>
      <c r="L25" s="140"/>
      <c r="M25" s="140"/>
      <c r="N25" s="140"/>
      <c r="O25" s="140"/>
      <c r="P25" s="140"/>
      <c r="Q25" s="41">
        <f>IF(OR(H25="",F25=""),"",IF(H25=F25,1,IF(H25&lt;F25,0,IF(H25-F25&lt;10,2,IF(H25&gt;F25,3,SE)))))</f>
        <v>2</v>
      </c>
      <c r="T25" s="54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41"/>
    </row>
    <row r="26" spans="2:39" s="38" customFormat="1" ht="15.75" thickBot="1" x14ac:dyDescent="0.3">
      <c r="C26" s="41" t="str">
        <f>IF(OR(F26="",H26=""),"",IF(F26=H26,1,IF(F26&lt;H26,0,IF(F26-H26&lt;10,2,IF(F26&gt;H26,3,SE)))))</f>
        <v/>
      </c>
      <c r="F26" s="59"/>
      <c r="Q26" s="41" t="str">
        <f>IF(OR(H26="",F26=""),"",IF(H26=F26,1,IF(H26&lt;F26,0,IF(H26-F26&lt;10,2,IF(H26&gt;F26,3,SE)))))</f>
        <v/>
      </c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41"/>
    </row>
    <row r="27" spans="2:39" s="38" customFormat="1" x14ac:dyDescent="0.25">
      <c r="C27" s="41" t="str">
        <f>IF(OR(F27="",H27=""),"",IF(F27=H27,1,IF(F27&lt;H27,0,IF(F27-H27&lt;10,2,IF(F27&gt;H27,3,SE)))))</f>
        <v/>
      </c>
      <c r="D27" s="128" t="s">
        <v>24</v>
      </c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30"/>
      <c r="Q27" s="41" t="str">
        <f>IF(OR(H27="",F27=""),"",IF(H27=F27,1,IF(H27&lt;F27,0,IF(H27-F27&lt;10,2,IF(H27&gt;F27,3,SE)))))</f>
        <v/>
      </c>
      <c r="T27" s="54"/>
      <c r="U27" s="54"/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41"/>
    </row>
    <row r="28" spans="2:39" s="38" customFormat="1" ht="15.75" thickBot="1" x14ac:dyDescent="0.3">
      <c r="C28" s="41" t="str">
        <f>IF(OR(F28="",H28=""),"",IF(F28=H28,1,IF(F28&lt;H28,0,IF(F28-H28&lt;10,2,IF(F28&gt;H28,3,SE)))))</f>
        <v/>
      </c>
      <c r="D28" s="131"/>
      <c r="E28" s="132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3"/>
      <c r="Q28" s="41" t="str">
        <f>IF(OR(H28="",F28=""),"",IF(H28=F28,1,IF(H28&lt;F28,0,IF(H28-F28&lt;10,2,IF(H28&gt;F28,3,SE)))))</f>
        <v/>
      </c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41"/>
    </row>
    <row r="29" spans="2:39" s="38" customFormat="1" x14ac:dyDescent="0.25">
      <c r="C29" s="41" t="str">
        <f>IF(OR(F29="",H29=""),"",IF(F29=H29,1,IF(F29&lt;H29,0,IF(F29-H29&lt;10,2,IF(F29&gt;H29,3,SE)))))</f>
        <v/>
      </c>
      <c r="Q29" s="41" t="str">
        <f>IF(OR(H29="",F29=""),"",IF(H29=F29,1,IF(H29&lt;F29,0,IF(H29-F29&lt;10,2,IF(H29&gt;F29,3,SE)))))</f>
        <v/>
      </c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41"/>
    </row>
    <row r="30" spans="2:39" s="38" customFormat="1" x14ac:dyDescent="0.25">
      <c r="C30" s="41">
        <f>IF(OR(F30="",H30=""),"",IF(F30=H30,1,IF(F30&lt;H30,0,IF(F30-H30&lt;10,2,IF(F30&gt;H30,3,SE)))))</f>
        <v>0</v>
      </c>
      <c r="D30" s="140" t="str">
        <f>V13</f>
        <v>Engenheirense</v>
      </c>
      <c r="E30" s="140"/>
      <c r="F30" s="57">
        <v>62</v>
      </c>
      <c r="G30" s="58" t="s">
        <v>21</v>
      </c>
      <c r="H30" s="55">
        <v>92</v>
      </c>
      <c r="I30" s="140" t="str">
        <f>V12</f>
        <v>.In$a.nyo$.Br</v>
      </c>
      <c r="J30" s="140"/>
      <c r="K30" s="140"/>
      <c r="L30" s="140"/>
      <c r="M30" s="140"/>
      <c r="N30" s="140"/>
      <c r="O30" s="140"/>
      <c r="P30" s="140"/>
      <c r="Q30" s="41">
        <f>IF(OR(H30="",F30=""),"",IF(H30=F30,1,IF(H30&lt;F30,0,IF(H30-F30&lt;10,2,IF(H30&gt;F30,3,SE)))))</f>
        <v>3</v>
      </c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41"/>
    </row>
    <row r="31" spans="2:39" s="38" customFormat="1" x14ac:dyDescent="0.25">
      <c r="C31" s="41">
        <f>IF(OR(F31="",H31=""),"",IF(F31=H31,1,IF(F31&lt;H31,0,IF(F31-H31&lt;10,2,IF(F31&gt;H31,3,SE)))))</f>
        <v>3</v>
      </c>
      <c r="D31" s="140" t="str">
        <f>V11</f>
        <v>Botafogo Rocha</v>
      </c>
      <c r="E31" s="140"/>
      <c r="F31" s="55">
        <v>67</v>
      </c>
      <c r="G31" s="58" t="s">
        <v>21</v>
      </c>
      <c r="H31" s="57">
        <v>36</v>
      </c>
      <c r="I31" s="140" t="str">
        <f>V10</f>
        <v>Stars United</v>
      </c>
      <c r="J31" s="140"/>
      <c r="K31" s="140"/>
      <c r="L31" s="140"/>
      <c r="M31" s="140"/>
      <c r="N31" s="140"/>
      <c r="O31" s="140"/>
      <c r="P31" s="140"/>
      <c r="Q31" s="41">
        <f>IF(OR(H31="",F31=""),"",IF(H31=F31,1,IF(H31&lt;F31,0,IF(H31-F31&lt;10,2,IF(H31&gt;F31,3,SE)))))</f>
        <v>0</v>
      </c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</row>
    <row r="32" spans="2:39" s="38" customFormat="1" ht="15.75" thickBot="1" x14ac:dyDescent="0.3">
      <c r="C32" s="41" t="str">
        <f>IF(OR(F32="",H32=""),"",IF(F32=H32,1,IF(F32&lt;H32,0,IF(F32-H32&lt;10,2,IF(F32&gt;H32,3,SE)))))</f>
        <v/>
      </c>
      <c r="Q32" s="41" t="str">
        <f>IF(OR(H32="",F32=""),"",IF(H32=F32,1,IF(H32&lt;F32,0,IF(H32-F32&lt;10,2,IF(H32&gt;F32,3,SE)))))</f>
        <v/>
      </c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</row>
    <row r="33" spans="3:37" s="38" customFormat="1" x14ac:dyDescent="0.25">
      <c r="C33" s="41" t="str">
        <f>IF(OR(F33="",H33=""),"",IF(F33=H33,1,IF(F33&lt;H33,0,IF(F33-H33&lt;10,2,IF(F33&gt;H33,3,SE)))))</f>
        <v/>
      </c>
      <c r="D33" s="128" t="s">
        <v>25</v>
      </c>
      <c r="E33" s="129"/>
      <c r="F33" s="129"/>
      <c r="G33" s="129"/>
      <c r="H33" s="129"/>
      <c r="I33" s="129"/>
      <c r="J33" s="129"/>
      <c r="K33" s="129"/>
      <c r="L33" s="129"/>
      <c r="M33" s="129"/>
      <c r="N33" s="129"/>
      <c r="O33" s="129"/>
      <c r="P33" s="130"/>
      <c r="Q33" s="41" t="str">
        <f>IF(OR(H33="",F33=""),"",IF(H33=F33,1,IF(H33&lt;F33,0,IF(H33-F33&lt;10,2,IF(H33&gt;F33,3,SE)))))</f>
        <v/>
      </c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</row>
    <row r="34" spans="3:37" s="38" customFormat="1" ht="15.75" thickBot="1" x14ac:dyDescent="0.3">
      <c r="C34" s="41" t="str">
        <f>IF(OR(F34="",H34=""),"",IF(F34=H34,1,IF(F34&lt;H34,0,IF(F34-H34&lt;10,2,IF(F34&gt;H34,3,SE)))))</f>
        <v/>
      </c>
      <c r="D34" s="131"/>
      <c r="E34" s="132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3"/>
      <c r="Q34" s="41" t="str">
        <f>IF(OR(H34="",F34=""),"",IF(H34=F34,1,IF(H34&lt;F34,0,IF(H34-F34&lt;10,2,IF(H34&gt;F34,3,SE)))))</f>
        <v/>
      </c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</row>
    <row r="35" spans="3:37" s="38" customFormat="1" x14ac:dyDescent="0.25">
      <c r="C35" s="41" t="str">
        <f>IF(OR(F35="",H35=""),"",IF(F35=H35,1,IF(F35&lt;H35,0,IF(F35-H35&lt;10,2,IF(F35&gt;H35,3,SE)))))</f>
        <v/>
      </c>
      <c r="Q35" s="41" t="str">
        <f>IF(OR(H35="",F35=""),"",IF(H35=F35,1,IF(H35&lt;F35,0,IF(H35-F35&lt;10,2,IF(H35&gt;F35,3,SE)))))</f>
        <v/>
      </c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</row>
    <row r="36" spans="3:37" s="38" customFormat="1" x14ac:dyDescent="0.25">
      <c r="C36" s="41">
        <f>IF(OR(F36="",H36=""),"",IF(F36=H36,1,IF(F36&lt;H36,0,IF(F36-H36&lt;10,2,IF(F36&gt;H36,3,SE)))))</f>
        <v>3</v>
      </c>
      <c r="D36" s="140" t="str">
        <f>V13</f>
        <v>Engenheirense</v>
      </c>
      <c r="E36" s="140"/>
      <c r="F36" s="55">
        <v>63</v>
      </c>
      <c r="G36" s="58" t="s">
        <v>21</v>
      </c>
      <c r="H36" s="57">
        <v>40</v>
      </c>
      <c r="I36" s="140" t="str">
        <f>V10</f>
        <v>Stars United</v>
      </c>
      <c r="J36" s="140"/>
      <c r="K36" s="140"/>
      <c r="L36" s="140"/>
      <c r="M36" s="140"/>
      <c r="N36" s="140"/>
      <c r="O36" s="140"/>
      <c r="P36" s="140"/>
      <c r="Q36" s="41">
        <f>IF(OR(H36="",F36=""),"",IF(H36=F36,1,IF(H36&lt;F36,0,IF(H36-F36&lt;10,2,IF(H36&gt;F36,3,SE)))))</f>
        <v>0</v>
      </c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</row>
    <row r="37" spans="3:37" s="38" customFormat="1" x14ac:dyDescent="0.25">
      <c r="C37" s="41">
        <f>IF(OR(F37="",H37=""),"",IF(F37=H37,1,IF(F37&lt;H37,0,IF(F37-H37&lt;10,2,IF(F37&gt;H37,3,SE)))))</f>
        <v>0</v>
      </c>
      <c r="D37" s="140" t="str">
        <f>V12</f>
        <v>.In$a.nyo$.Br</v>
      </c>
      <c r="E37" s="140"/>
      <c r="F37" s="57">
        <v>51</v>
      </c>
      <c r="G37" s="58" t="s">
        <v>21</v>
      </c>
      <c r="H37" s="55">
        <v>64</v>
      </c>
      <c r="I37" s="140" t="str">
        <f>V11</f>
        <v>Botafogo Rocha</v>
      </c>
      <c r="J37" s="140"/>
      <c r="K37" s="140"/>
      <c r="L37" s="140"/>
      <c r="M37" s="140"/>
      <c r="N37" s="140"/>
      <c r="O37" s="140"/>
      <c r="P37" s="140"/>
      <c r="Q37" s="41">
        <f>IF(OR(H37="",F37=""),"",IF(H37=F37,1,IF(H37&lt;F37,0,IF(H37-F37&lt;10,2,IF(H37&gt;F37,3,SE)))))</f>
        <v>3</v>
      </c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</row>
    <row r="38" spans="3:37" s="38" customFormat="1" ht="15.75" thickBot="1" x14ac:dyDescent="0.3">
      <c r="C38" s="41" t="str">
        <f>IF(OR(F38="",H38=""),"",IF(F38=H38,1,IF(F38&lt;H38,0,IF(F38-H38&lt;10,2,IF(F38&gt;H38,3,SE)))))</f>
        <v/>
      </c>
      <c r="Q38" s="41" t="str">
        <f>IF(OR(H38="",F38=""),"",IF(H38=F38,1,IF(H38&lt;F38,0,IF(H38-F38&lt;10,2,IF(H38&gt;F38,3,SE)))))</f>
        <v/>
      </c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</row>
    <row r="39" spans="3:37" s="38" customFormat="1" x14ac:dyDescent="0.25">
      <c r="C39" s="41" t="str">
        <f>IF(OR(F39="",H39=""),"",IF(F39=H39,1,IF(F39&lt;H39,0,IF(F39-H39&lt;10,2,IF(F39&gt;H39,3,SE)))))</f>
        <v/>
      </c>
      <c r="D39" s="128" t="s">
        <v>26</v>
      </c>
      <c r="E39" s="129"/>
      <c r="F39" s="129"/>
      <c r="G39" s="129"/>
      <c r="H39" s="129"/>
      <c r="I39" s="129"/>
      <c r="J39" s="129"/>
      <c r="K39" s="129"/>
      <c r="L39" s="129"/>
      <c r="M39" s="129"/>
      <c r="N39" s="129"/>
      <c r="O39" s="129"/>
      <c r="P39" s="130"/>
      <c r="Q39" s="41" t="str">
        <f>IF(OR(H39="",F39=""),"",IF(H39=F39,1,IF(H39&lt;F39,0,IF(H39-F39&lt;10,2,IF(H39&gt;F39,3,SE)))))</f>
        <v/>
      </c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</row>
    <row r="40" spans="3:37" s="38" customFormat="1" ht="15.75" thickBot="1" x14ac:dyDescent="0.3">
      <c r="C40" s="41" t="str">
        <f>IF(OR(F40="",H40=""),"",IF(F40=H40,1,IF(F40&lt;H40,0,IF(F40-H40&lt;10,2,IF(F40&gt;H40,3,SE)))))</f>
        <v/>
      </c>
      <c r="D40" s="131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3"/>
      <c r="Q40" s="41" t="str">
        <f>IF(OR(H40="",F40=""),"",IF(H40=F40,1,IF(H40&lt;F40,0,IF(H40-F40&lt;10,2,IF(H40&gt;F40,3,SE)))))</f>
        <v/>
      </c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</row>
    <row r="41" spans="3:37" s="38" customFormat="1" x14ac:dyDescent="0.25">
      <c r="C41" s="41" t="str">
        <f>IF(OR(F41="",H41=""),"",IF(F41=H41,1,IF(F41&lt;H41,0,IF(F41-H41&lt;10,2,IF(F41&gt;H41,3,SE)))))</f>
        <v/>
      </c>
      <c r="Q41" s="41" t="str">
        <f>IF(OR(H41="",F41=""),"",IF(H41=F41,1,IF(H41&lt;F41,0,IF(H41-F41&lt;10,2,IF(H41&gt;F41,3,SE)))))</f>
        <v/>
      </c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</row>
    <row r="42" spans="3:37" s="38" customFormat="1" x14ac:dyDescent="0.25">
      <c r="C42" s="41">
        <f>IF(OR(F42="",H42=""),"",IF(F42=H42,1,IF(F42&lt;H42,0,IF(F42-H42&lt;10,2,IF(F42&gt;H42,3,SE)))))</f>
        <v>2</v>
      </c>
      <c r="D42" s="140" t="str">
        <f>V13</f>
        <v>Engenheirense</v>
      </c>
      <c r="E42" s="140"/>
      <c r="F42" s="55">
        <v>40</v>
      </c>
      <c r="G42" s="58" t="s">
        <v>21</v>
      </c>
      <c r="H42" s="57">
        <v>39</v>
      </c>
      <c r="I42" s="140" t="str">
        <f>V11</f>
        <v>Botafogo Rocha</v>
      </c>
      <c r="J42" s="140"/>
      <c r="K42" s="140"/>
      <c r="L42" s="140"/>
      <c r="M42" s="140"/>
      <c r="N42" s="140"/>
      <c r="O42" s="140"/>
      <c r="P42" s="140"/>
      <c r="Q42" s="41">
        <f>IF(OR(H42="",F42=""),"",IF(H42=F42,1,IF(H42&lt;F42,0,IF(H42-F42&lt;10,2,IF(H42&gt;F42,3,SE)))))</f>
        <v>0</v>
      </c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</row>
    <row r="43" spans="3:37" s="38" customFormat="1" x14ac:dyDescent="0.25">
      <c r="C43" s="41">
        <f>IF(OR(F43="",H43=""),"",IF(F43=H43,1,IF(F43&lt;H43,0,IF(F43-H43&lt;10,2,IF(F43&gt;H43,3,SE)))))</f>
        <v>3</v>
      </c>
      <c r="D43" s="140" t="str">
        <f>V12</f>
        <v>.In$a.nyo$.Br</v>
      </c>
      <c r="E43" s="140"/>
      <c r="F43" s="55">
        <v>57</v>
      </c>
      <c r="G43" s="58" t="s">
        <v>21</v>
      </c>
      <c r="H43" s="57">
        <v>37</v>
      </c>
      <c r="I43" s="140" t="str">
        <f>V10</f>
        <v>Stars United</v>
      </c>
      <c r="J43" s="140"/>
      <c r="K43" s="140"/>
      <c r="L43" s="140"/>
      <c r="M43" s="140"/>
      <c r="N43" s="140"/>
      <c r="O43" s="140"/>
      <c r="P43" s="140"/>
      <c r="Q43" s="41">
        <f>IF(OR(H43="",F43=""),"",IF(H43=F43,1,IF(H43&lt;F43,0,IF(H43-F43&lt;10,2,IF(H43&gt;F43,3,SE)))))</f>
        <v>0</v>
      </c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</row>
    <row r="44" spans="3:37" s="38" customFormat="1" ht="15.75" thickBot="1" x14ac:dyDescent="0.3">
      <c r="C44" s="41" t="str">
        <f>IF(OR(F44="",H44=""),"",IF(F44=H44,1,IF(F44&lt;H44,0,IF(F44-H44&lt;10,2,IF(F44&gt;H44,3,SE)))))</f>
        <v/>
      </c>
      <c r="Q44" s="41" t="str">
        <f>IF(OR(H44="",F44=""),"",IF(H44=F44,1,IF(H44&lt;F44,0,IF(H44-F44&lt;10,2,IF(H44&gt;F44,3,SE)))))</f>
        <v/>
      </c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</row>
    <row r="45" spans="3:37" s="38" customFormat="1" x14ac:dyDescent="0.25">
      <c r="C45" s="41" t="str">
        <f>IF(OR(F45="",H45=""),"",IF(F45=H45,1,IF(F45&lt;H45,0,IF(F45-H45&lt;10,2,IF(F45&gt;H45,3,SE)))))</f>
        <v/>
      </c>
      <c r="D45" s="128" t="s">
        <v>27</v>
      </c>
      <c r="E45" s="129"/>
      <c r="F45" s="129"/>
      <c r="G45" s="129"/>
      <c r="H45" s="129"/>
      <c r="I45" s="129"/>
      <c r="J45" s="129"/>
      <c r="K45" s="129"/>
      <c r="L45" s="129"/>
      <c r="M45" s="129"/>
      <c r="N45" s="129"/>
      <c r="O45" s="129"/>
      <c r="P45" s="130"/>
      <c r="Q45" s="41" t="str">
        <f>IF(OR(H45="",F45=""),"",IF(H45=F45,1,IF(H45&lt;F45,0,IF(H45-F45&lt;10,2,IF(H45&gt;F45,3,SE)))))</f>
        <v/>
      </c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</row>
    <row r="46" spans="3:37" s="38" customFormat="1" ht="15.75" thickBot="1" x14ac:dyDescent="0.3">
      <c r="C46" s="41" t="str">
        <f>IF(OR(F46="",H46=""),"",IF(F46=H46,1,IF(F46&lt;H46,0,IF(F46-H46&lt;10,2,IF(F46&gt;H46,3,SE)))))</f>
        <v/>
      </c>
      <c r="D46" s="131"/>
      <c r="E46" s="132"/>
      <c r="F46" s="132"/>
      <c r="G46" s="132"/>
      <c r="H46" s="132"/>
      <c r="I46" s="132"/>
      <c r="J46" s="132"/>
      <c r="K46" s="132"/>
      <c r="L46" s="132"/>
      <c r="M46" s="132"/>
      <c r="N46" s="132"/>
      <c r="O46" s="132"/>
      <c r="P46" s="133"/>
      <c r="Q46" s="41" t="str">
        <f>IF(OR(H46="",F46=""),"",IF(H46=F46,1,IF(H46&lt;F46,0,IF(H46-F46&lt;10,2,IF(H46&gt;F46,3,SE)))))</f>
        <v/>
      </c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</row>
    <row r="47" spans="3:37" s="38" customFormat="1" x14ac:dyDescent="0.25">
      <c r="C47" s="41" t="str">
        <f>IF(OR(F47="",H47=""),"",IF(F47=H47,1,IF(F47&lt;H47,0,IF(F47-H47&lt;10,2,IF(F47&gt;H47,3,SE)))))</f>
        <v/>
      </c>
      <c r="Q47" s="41" t="str">
        <f>IF(OR(H47="",F47=""),"",IF(H47=F47,1,IF(H47&lt;F47,0,IF(H47-F47&lt;10,2,IF(H47&gt;F47,3,SE)))))</f>
        <v/>
      </c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41"/>
      <c r="AK47" s="41"/>
    </row>
    <row r="48" spans="3:37" s="38" customFormat="1" x14ac:dyDescent="0.25">
      <c r="C48" s="41">
        <f>IF(OR(F48="",H48=""),"",IF(F48=H48,1,IF(F48&lt;H48,0,IF(F48-H48&lt;10,2,IF(F48&gt;H48,3,SE)))))</f>
        <v>2</v>
      </c>
      <c r="D48" s="140" t="str">
        <f>V13</f>
        <v>Engenheirense</v>
      </c>
      <c r="E48" s="140"/>
      <c r="F48" s="55">
        <v>48</v>
      </c>
      <c r="G48" s="56" t="s">
        <v>21</v>
      </c>
      <c r="H48" s="57">
        <v>45</v>
      </c>
      <c r="I48" s="140" t="str">
        <f>V12</f>
        <v>.In$a.nyo$.Br</v>
      </c>
      <c r="J48" s="140"/>
      <c r="K48" s="140"/>
      <c r="L48" s="140"/>
      <c r="M48" s="140"/>
      <c r="N48" s="140"/>
      <c r="O48" s="140"/>
      <c r="P48" s="140"/>
      <c r="Q48" s="41">
        <f>IF(OR(H48="",F48=""),"",IF(H48=F48,1,IF(H48&lt;F48,0,IF(H48-F48&lt;10,2,IF(H48&gt;F48,3,SE)))))</f>
        <v>0</v>
      </c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41"/>
      <c r="AK48" s="41"/>
    </row>
    <row r="49" spans="3:41" s="38" customFormat="1" x14ac:dyDescent="0.25">
      <c r="C49" s="41">
        <f>IF(OR(F49="",H49=""),"",IF(F49=H49,1,IF(F49&lt;H49,0,IF(F49-H49&lt;10,2,IF(F49&gt;H49,3,SE)))))</f>
        <v>3</v>
      </c>
      <c r="D49" s="140" t="str">
        <f>V11</f>
        <v>Botafogo Rocha</v>
      </c>
      <c r="E49" s="140"/>
      <c r="F49" s="55">
        <v>59</v>
      </c>
      <c r="G49" s="56" t="s">
        <v>21</v>
      </c>
      <c r="H49" s="57">
        <v>45</v>
      </c>
      <c r="I49" s="140" t="str">
        <f>V10</f>
        <v>Stars United</v>
      </c>
      <c r="J49" s="140"/>
      <c r="K49" s="140"/>
      <c r="L49" s="140"/>
      <c r="M49" s="140"/>
      <c r="N49" s="140"/>
      <c r="O49" s="140"/>
      <c r="P49" s="140"/>
      <c r="Q49" s="41">
        <f>IF(OR(H49="",F49=""),"",IF(H49=F49,1,IF(H49&lt;F49,0,IF(H49-F49&lt;10,2,IF(H49&gt;F49,3,SE)))))</f>
        <v>0</v>
      </c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</row>
    <row r="50" spans="3:41" s="38" customFormat="1" ht="15.75" thickBot="1" x14ac:dyDescent="0.3">
      <c r="C50" s="41" t="str">
        <f>IF(OR(F50="",H50=""),"",IF(F50=H50,1,IF(F50&lt;H50,0,IF(F50-H50&lt;10,2,IF(F50&gt;H50,3,SE)))))</f>
        <v/>
      </c>
      <c r="Q50" s="41" t="str">
        <f>IF(OR(H50="",F50=""),"",IF(H50=F50,1,IF(H50&lt;F50,0,IF(H50-F50&lt;10,2,IF(H50&gt;F50,3,SE)))))</f>
        <v/>
      </c>
      <c r="R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39"/>
      <c r="AL50" s="39"/>
    </row>
    <row r="51" spans="3:41" s="38" customFormat="1" ht="15" customHeight="1" x14ac:dyDescent="0.25">
      <c r="C51" s="41" t="str">
        <f>IF(OR(F51="",H51=""),"",IF(F51=H51,1,IF(F51&lt;H51,0,IF(F51-H51&lt;10,2,IF(F51&gt;H51,3,SE)))))</f>
        <v/>
      </c>
      <c r="D51" s="128" t="s">
        <v>28</v>
      </c>
      <c r="E51" s="129"/>
      <c r="F51" s="129"/>
      <c r="G51" s="129"/>
      <c r="H51" s="129"/>
      <c r="I51" s="129"/>
      <c r="J51" s="129"/>
      <c r="K51" s="129"/>
      <c r="L51" s="129"/>
      <c r="M51" s="129"/>
      <c r="N51" s="129"/>
      <c r="O51" s="130"/>
      <c r="Q51" s="41" t="str">
        <f>IF(OR(H51="",F51=""),"",IF(H51=F51,1,IF(H51&lt;F51,0,IF(H51-F51&lt;10,2,IF(H51&gt;F51,3,SE)))))</f>
        <v/>
      </c>
      <c r="R51" s="39" t="s">
        <v>6</v>
      </c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41"/>
      <c r="AI51" s="41"/>
      <c r="AJ51" s="41"/>
      <c r="AK51" s="39"/>
      <c r="AL51" s="39"/>
    </row>
    <row r="52" spans="3:41" s="38" customFormat="1" ht="15.75" customHeight="1" thickBot="1" x14ac:dyDescent="0.3">
      <c r="C52" s="41" t="str">
        <f>IF(OR(F52="",H52=""),"",IF(F52=H52,1,IF(F52&lt;H52,0,IF(F52-H52&lt;10,2,IF(F52&gt;H52,3,SE)))))</f>
        <v/>
      </c>
      <c r="D52" s="131"/>
      <c r="E52" s="132"/>
      <c r="F52" s="132"/>
      <c r="G52" s="132"/>
      <c r="H52" s="132"/>
      <c r="I52" s="132"/>
      <c r="J52" s="132"/>
      <c r="K52" s="132"/>
      <c r="L52" s="132"/>
      <c r="M52" s="132"/>
      <c r="N52" s="132"/>
      <c r="O52" s="133"/>
      <c r="Q52" s="41" t="str">
        <f>IF(OR(H52="",F52=""),"",IF(H52=F52,1,IF(H52&lt;F52,0,IF(H52-F52&lt;10,2,IF(H52&gt;F52,3,SE)))))</f>
        <v/>
      </c>
      <c r="R52" s="39" t="s">
        <v>15</v>
      </c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1"/>
      <c r="AJ52" s="40"/>
      <c r="AK52" s="39"/>
      <c r="AL52" s="39"/>
    </row>
    <row r="53" spans="3:41" s="38" customFormat="1" ht="15.75" thickBot="1" x14ac:dyDescent="0.3">
      <c r="C53" s="41"/>
      <c r="D53" s="25" t="s">
        <v>1</v>
      </c>
      <c r="E53" s="1" t="s">
        <v>2</v>
      </c>
      <c r="F53" s="1" t="s">
        <v>40</v>
      </c>
      <c r="G53" s="1" t="s">
        <v>3</v>
      </c>
      <c r="H53" s="1" t="s">
        <v>41</v>
      </c>
      <c r="I53" s="1" t="s">
        <v>42</v>
      </c>
      <c r="J53" s="1" t="s">
        <v>43</v>
      </c>
      <c r="K53" s="1" t="s">
        <v>44</v>
      </c>
      <c r="L53" s="1" t="s">
        <v>46</v>
      </c>
      <c r="M53" s="1" t="s">
        <v>4</v>
      </c>
      <c r="N53" s="1" t="s">
        <v>5</v>
      </c>
      <c r="O53" s="2" t="s">
        <v>45</v>
      </c>
      <c r="Q53" s="41"/>
      <c r="R53" s="39" t="s">
        <v>47</v>
      </c>
      <c r="T53" s="40"/>
      <c r="U53" s="46" t="s">
        <v>1</v>
      </c>
      <c r="V53" s="47" t="s">
        <v>7</v>
      </c>
      <c r="W53" s="48" t="s">
        <v>40</v>
      </c>
      <c r="X53" s="46" t="s">
        <v>3</v>
      </c>
      <c r="Y53" s="46" t="s">
        <v>41</v>
      </c>
      <c r="Z53" s="46" t="s">
        <v>42</v>
      </c>
      <c r="AA53" s="46" t="s">
        <v>43</v>
      </c>
      <c r="AB53" s="46" t="s">
        <v>44</v>
      </c>
      <c r="AC53" s="46" t="s">
        <v>8</v>
      </c>
      <c r="AD53" s="46" t="s">
        <v>9</v>
      </c>
      <c r="AE53" s="46" t="s">
        <v>10</v>
      </c>
      <c r="AF53" s="46" t="s">
        <v>45</v>
      </c>
      <c r="AG53" s="46" t="s">
        <v>11</v>
      </c>
      <c r="AH53" s="46" t="s">
        <v>12</v>
      </c>
      <c r="AI53" s="46" t="s">
        <v>13</v>
      </c>
      <c r="AJ53" s="60"/>
      <c r="AK53" s="49"/>
      <c r="AL53" s="49"/>
      <c r="AM53" s="49"/>
      <c r="AN53" s="49"/>
      <c r="AO53" s="49"/>
    </row>
    <row r="54" spans="3:41" s="38" customFormat="1" x14ac:dyDescent="0.25">
      <c r="C54" s="41"/>
      <c r="D54" s="21" t="s">
        <v>14</v>
      </c>
      <c r="E54" s="6" t="str">
        <f>VLOOKUP(AI54,$U$54:$AH$57,2)</f>
        <v>Tribe of Gypses</v>
      </c>
      <c r="F54" s="6">
        <f>VLOOKUP(AI54,U$54:AH$57,3)</f>
        <v>6</v>
      </c>
      <c r="G54" s="6">
        <f>VLOOKUP(AI54,U$54:AH$57,4)</f>
        <v>8</v>
      </c>
      <c r="H54" s="26">
        <f>VLOOKUP(AI54,$U$54:$AH$57,5)</f>
        <v>2</v>
      </c>
      <c r="I54" s="26">
        <f>VLOOKUP(AI54,U$54:AH$57,6)</f>
        <v>1</v>
      </c>
      <c r="J54" s="26">
        <f>VLOOKUP(AI54,$U$54:$AH$57,7)</f>
        <v>0</v>
      </c>
      <c r="K54" s="26">
        <f>VLOOKUP(AI54,U$54:AH$57,8)</f>
        <v>3</v>
      </c>
      <c r="L54" s="26">
        <f>VLOOKUP(AI54,$U$54:$AH$57,9)</f>
        <v>296</v>
      </c>
      <c r="M54" s="26">
        <f>VLOOKUP(AI54,U$54:AH$57,10)</f>
        <v>267</v>
      </c>
      <c r="N54" s="6">
        <f>VLOOKUP(AI54,U$54:AH$57,11)</f>
        <v>29</v>
      </c>
      <c r="O54" s="30">
        <f>VLOOKUP(AI54,U$54:AH$57,12)</f>
        <v>0.44444444444444442</v>
      </c>
      <c r="Q54" s="41"/>
      <c r="R54" s="39" t="s">
        <v>48</v>
      </c>
      <c r="T54" s="40"/>
      <c r="U54" s="46">
        <v>1</v>
      </c>
      <c r="V54" s="41" t="s">
        <v>66</v>
      </c>
      <c r="W54" s="44">
        <f>COUNT($F$62,$F$68,$F$74,$F$80,$F$86,$F$92)</f>
        <v>6</v>
      </c>
      <c r="X54" s="61">
        <f>SUM(Q62,Q69,Q75,Q80,Q87,Q93)</f>
        <v>7</v>
      </c>
      <c r="Y54" s="61">
        <f>SUM(COUNTIFS($C$62:$C$93,3,$D$62:$D$93,V54),COUNTIFS($I$62:$I$93,V54,$Q$62:$Q$93,3))</f>
        <v>1</v>
      </c>
      <c r="Z54" s="61">
        <f>SUM(COUNTIFS($C$62:$C$93,2,$D$62:$D$93,V54),COUNTIFS($I$62:$I$93,V54,$Q$62:$Q$93,2))</f>
        <v>2</v>
      </c>
      <c r="AA54" s="61">
        <f>SUM(COUNTIFS($C$62:$C$93,1,$D$62:$D$93,V54),COUNTIFS($I$62:$I$93,V54,$Q$62:$Q$93,1))</f>
        <v>0</v>
      </c>
      <c r="AB54" s="61">
        <f>SUM(COUNTIFS($C$62:$C$93,0,$D$62:$D$93,V54),COUNTIFS($I$62:$I$93,V54,$Q$62:$Q$93,0))</f>
        <v>3</v>
      </c>
      <c r="AC54" s="61">
        <f>SUM(H80,H87,H93,H62,H69,H75)</f>
        <v>285</v>
      </c>
      <c r="AD54" s="61">
        <f>SUM(F62,F69,F75,F80,F87,F93)</f>
        <v>308</v>
      </c>
      <c r="AE54" s="61">
        <f>AC54-AD54</f>
        <v>-23</v>
      </c>
      <c r="AF54" s="61">
        <f>IF(OR($F$62="",$H$62=""),0,(X54/(W54*3)))</f>
        <v>0.3888888888888889</v>
      </c>
      <c r="AG54" s="44">
        <f>(X54*10^15)+((AC54+5000)*10^6)+AE54*10+U54</f>
        <v>7000005284999771</v>
      </c>
      <c r="AH54" s="44">
        <f>LARGE($AG$54:$AG$57,U54)</f>
        <v>8000005296000294</v>
      </c>
      <c r="AI54" s="51">
        <f>MATCH(AH54,$AG$54:$AG$57,0)</f>
        <v>4</v>
      </c>
      <c r="AJ54" s="40"/>
      <c r="AK54" s="39"/>
      <c r="AL54" s="39"/>
    </row>
    <row r="55" spans="3:41" s="38" customFormat="1" x14ac:dyDescent="0.25">
      <c r="C55" s="41"/>
      <c r="D55" s="22" t="s">
        <v>16</v>
      </c>
      <c r="E55" s="9" t="str">
        <f t="shared" ref="E55:E57" si="19">VLOOKUP(AI55,$U$54:$AH$57,2)</f>
        <v>BRF Igor Costa</v>
      </c>
      <c r="F55" s="9">
        <f t="shared" ref="F55:F57" si="20">VLOOKUP(AI55,U$54:AH$57,3)</f>
        <v>6</v>
      </c>
      <c r="G55" s="9">
        <f t="shared" ref="G55:G57" si="21">VLOOKUP(AI55,U$54:AH$57,4)</f>
        <v>7</v>
      </c>
      <c r="H55" s="27">
        <f t="shared" ref="H55:H57" si="22">VLOOKUP(AI55,$U$54:$AH$57,5)</f>
        <v>1</v>
      </c>
      <c r="I55" s="27">
        <f t="shared" ref="I55:I57" si="23">VLOOKUP(AI55,U$54:AH$57,6)</f>
        <v>2</v>
      </c>
      <c r="J55" s="27">
        <f t="shared" ref="J55:J57" si="24">VLOOKUP(AI55,$U$54:$AH$57,7)</f>
        <v>0</v>
      </c>
      <c r="K55" s="27">
        <f t="shared" ref="K55:K57" si="25">VLOOKUP(AI55,U$54:AH$57,8)</f>
        <v>3</v>
      </c>
      <c r="L55" s="27">
        <f t="shared" ref="L55:L57" si="26">VLOOKUP(AI55,$U$54:$AH$57,9)</f>
        <v>294</v>
      </c>
      <c r="M55" s="27">
        <f t="shared" ref="M55:M57" si="27">VLOOKUP(AI55,U$54:AH$57,10)</f>
        <v>298</v>
      </c>
      <c r="N55" s="9">
        <f t="shared" ref="N55:N57" si="28">VLOOKUP(AI55,U$54:AH$57,11)</f>
        <v>-4</v>
      </c>
      <c r="O55" s="31">
        <f t="shared" ref="O55:O57" si="29">VLOOKUP(AI55,U$54:AH$57,12)</f>
        <v>0.3888888888888889</v>
      </c>
      <c r="Q55" s="41"/>
      <c r="R55" s="39" t="s">
        <v>49</v>
      </c>
      <c r="T55" s="40"/>
      <c r="U55" s="46">
        <v>2</v>
      </c>
      <c r="V55" s="41" t="s">
        <v>67</v>
      </c>
      <c r="W55" s="44">
        <f t="shared" ref="W55:W57" si="30">COUNT($F$62,$F$68,$F$74,$F$80,$F$86,$F$92)</f>
        <v>6</v>
      </c>
      <c r="X55" s="61">
        <f>SUM(Q63,Q68,C75,Q81,Q86,C93)</f>
        <v>7</v>
      </c>
      <c r="Y55" s="61">
        <f t="shared" ref="Y55:Y57" si="31">SUM(COUNTIFS($C$62:$C$93,3,$D$62:$D$93,V55),COUNTIFS($I$62:$I$93,V55,$Q$62:$Q$93,3))</f>
        <v>1</v>
      </c>
      <c r="Z55" s="61">
        <f t="shared" ref="Z55:Z57" si="32">SUM(COUNTIFS($C$62:$C$93,2,$D$62:$D$93,V55),COUNTIFS($I$62:$I$93,V55,$Q$62:$Q$93,2))</f>
        <v>2</v>
      </c>
      <c r="AA55" s="61">
        <f t="shared" ref="AA55:AA57" si="33">SUM(COUNTIFS($C$62:$C$93,1,$D$62:$D$93,V55),COUNTIFS($I$62:$I$93,V55,$Q$62:$Q$93,1))</f>
        <v>0</v>
      </c>
      <c r="AB55" s="61">
        <f t="shared" ref="AB55:AB57" si="34">SUM(COUNTIFS($C$62:$C$93,0,$D$62:$D$93,V55),COUNTIFS($I$62:$I$93,V55,$Q$62:$Q$93,0))</f>
        <v>3</v>
      </c>
      <c r="AC55" s="61">
        <f>SUM(H63,H68,F75,H81,H86,F93)</f>
        <v>294</v>
      </c>
      <c r="AD55" s="61">
        <f>SUM(H93,F86,F81,H75,F68,F63)</f>
        <v>298</v>
      </c>
      <c r="AE55" s="61">
        <f t="shared" ref="AE55:AE57" si="35">AC55-AD55</f>
        <v>-4</v>
      </c>
      <c r="AF55" s="61">
        <f t="shared" ref="AF55:AF57" si="36">IF(OR($F$62="",$H$62=""),0,(X55/(W55*3)))</f>
        <v>0.3888888888888889</v>
      </c>
      <c r="AG55" s="44">
        <f>(X55*10^15)+((AC55+5000)*10^6)+AE55*10+U55</f>
        <v>7000005293999962</v>
      </c>
      <c r="AH55" s="44">
        <f t="shared" ref="AH55:AH57" si="37">LARGE($AG$54:$AG$57,U55)</f>
        <v>7000005293999962</v>
      </c>
      <c r="AI55" s="51">
        <f t="shared" ref="AI55:AI57" si="38">MATCH(AH55,$AG$54:$AG$57,0)</f>
        <v>2</v>
      </c>
      <c r="AJ55" s="40"/>
      <c r="AK55" s="39"/>
      <c r="AL55" s="39"/>
    </row>
    <row r="56" spans="3:41" s="38" customFormat="1" x14ac:dyDescent="0.25">
      <c r="C56" s="41"/>
      <c r="D56" s="23" t="s">
        <v>17</v>
      </c>
      <c r="E56" s="11" t="str">
        <f t="shared" si="19"/>
        <v>US Karas</v>
      </c>
      <c r="F56" s="11">
        <f t="shared" si="20"/>
        <v>6</v>
      </c>
      <c r="G56" s="11">
        <f t="shared" si="21"/>
        <v>7</v>
      </c>
      <c r="H56" s="28">
        <f t="shared" si="22"/>
        <v>1</v>
      </c>
      <c r="I56" s="28">
        <f t="shared" si="23"/>
        <v>2</v>
      </c>
      <c r="J56" s="28">
        <f t="shared" si="24"/>
        <v>0</v>
      </c>
      <c r="K56" s="28">
        <f t="shared" si="25"/>
        <v>3</v>
      </c>
      <c r="L56" s="28">
        <f t="shared" si="26"/>
        <v>285</v>
      </c>
      <c r="M56" s="28">
        <f t="shared" si="27"/>
        <v>308</v>
      </c>
      <c r="N56" s="11">
        <f t="shared" si="28"/>
        <v>-23</v>
      </c>
      <c r="O56" s="32">
        <f t="shared" si="29"/>
        <v>0.3888888888888889</v>
      </c>
      <c r="Q56" s="41"/>
      <c r="R56" s="39" t="s">
        <v>50</v>
      </c>
      <c r="T56" s="40"/>
      <c r="U56" s="46">
        <v>3</v>
      </c>
      <c r="V56" s="41" t="s">
        <v>68</v>
      </c>
      <c r="W56" s="44">
        <f t="shared" si="30"/>
        <v>6</v>
      </c>
      <c r="X56" s="61">
        <f>SUM(C63,C69,Q74,C81,C87,Q92)</f>
        <v>6</v>
      </c>
      <c r="Y56" s="61">
        <f t="shared" si="31"/>
        <v>0</v>
      </c>
      <c r="Z56" s="61">
        <f t="shared" si="32"/>
        <v>3</v>
      </c>
      <c r="AA56" s="61">
        <f t="shared" si="33"/>
        <v>0</v>
      </c>
      <c r="AB56" s="61">
        <f t="shared" si="34"/>
        <v>3</v>
      </c>
      <c r="AC56" s="61">
        <f>SUM(H92,F87,F81,H74,F69,F63)</f>
        <v>301</v>
      </c>
      <c r="AD56" s="61">
        <f>SUM(H63,H69,F74,H81,H87,F92)</f>
        <v>303</v>
      </c>
      <c r="AE56" s="61">
        <f t="shared" si="35"/>
        <v>-2</v>
      </c>
      <c r="AF56" s="61">
        <f t="shared" si="36"/>
        <v>0.33333333333333331</v>
      </c>
      <c r="AG56" s="44">
        <f>(X56*10^15)+((AC56+5000)*10^6)+AE56*10+U56</f>
        <v>6000005300999983</v>
      </c>
      <c r="AH56" s="44">
        <f t="shared" si="37"/>
        <v>7000005284999771</v>
      </c>
      <c r="AI56" s="51">
        <f t="shared" si="38"/>
        <v>1</v>
      </c>
      <c r="AJ56" s="40"/>
      <c r="AK56" s="39"/>
      <c r="AL56" s="39"/>
    </row>
    <row r="57" spans="3:41" s="38" customFormat="1" ht="15.75" thickBot="1" x14ac:dyDescent="0.3">
      <c r="C57" s="41"/>
      <c r="D57" s="24" t="s">
        <v>18</v>
      </c>
      <c r="E57" s="14" t="str">
        <f t="shared" si="19"/>
        <v>F.C. Bugrao</v>
      </c>
      <c r="F57" s="14">
        <f t="shared" si="20"/>
        <v>6</v>
      </c>
      <c r="G57" s="14">
        <f t="shared" si="21"/>
        <v>6</v>
      </c>
      <c r="H57" s="29">
        <f t="shared" si="22"/>
        <v>0</v>
      </c>
      <c r="I57" s="29">
        <f t="shared" si="23"/>
        <v>3</v>
      </c>
      <c r="J57" s="29">
        <f t="shared" si="24"/>
        <v>0</v>
      </c>
      <c r="K57" s="29">
        <f t="shared" si="25"/>
        <v>3</v>
      </c>
      <c r="L57" s="29">
        <f t="shared" si="26"/>
        <v>301</v>
      </c>
      <c r="M57" s="29">
        <f t="shared" si="27"/>
        <v>303</v>
      </c>
      <c r="N57" s="14">
        <f t="shared" si="28"/>
        <v>-2</v>
      </c>
      <c r="O57" s="33">
        <f t="shared" si="29"/>
        <v>0.33333333333333331</v>
      </c>
      <c r="Q57" s="41"/>
      <c r="R57" s="39" t="s">
        <v>51</v>
      </c>
      <c r="T57" s="40"/>
      <c r="U57" s="46">
        <v>4</v>
      </c>
      <c r="V57" s="41" t="s">
        <v>64</v>
      </c>
      <c r="W57" s="44">
        <f t="shared" si="30"/>
        <v>6</v>
      </c>
      <c r="X57" s="61">
        <f>SUM(C62,C68,C74,C80,C86,C92)</f>
        <v>8</v>
      </c>
      <c r="Y57" s="61">
        <f t="shared" si="31"/>
        <v>2</v>
      </c>
      <c r="Z57" s="61">
        <f t="shared" si="32"/>
        <v>1</v>
      </c>
      <c r="AA57" s="61">
        <f t="shared" si="33"/>
        <v>0</v>
      </c>
      <c r="AB57" s="61">
        <f t="shared" si="34"/>
        <v>3</v>
      </c>
      <c r="AC57" s="61">
        <f>SUM(F62,F68,F74,F80,F86,F92)</f>
        <v>296</v>
      </c>
      <c r="AD57" s="61">
        <f>SUM(H92,H86,H80,H74,H68,H62)</f>
        <v>267</v>
      </c>
      <c r="AE57" s="61">
        <f t="shared" si="35"/>
        <v>29</v>
      </c>
      <c r="AF57" s="61">
        <f t="shared" si="36"/>
        <v>0.44444444444444442</v>
      </c>
      <c r="AG57" s="44">
        <f>(X57*10^15)+((AC57+5000)*10^6)+AE57*10+U57</f>
        <v>8000005296000294</v>
      </c>
      <c r="AH57" s="44">
        <f t="shared" si="37"/>
        <v>6000005300999983</v>
      </c>
      <c r="AI57" s="51">
        <f t="shared" si="38"/>
        <v>3</v>
      </c>
      <c r="AJ57" s="40"/>
      <c r="AK57" s="39"/>
      <c r="AL57" s="39"/>
    </row>
    <row r="58" spans="3:41" s="38" customFormat="1" ht="15.75" thickBot="1" x14ac:dyDescent="0.3">
      <c r="C58" s="41" t="str">
        <f>IF(OR(F58="",H58=""),"",IF(F58=H58,1,IF(F58&lt;H58,0,IF(F58-H58&lt;10,2,IF(F58&gt;H58,3,SE)))))</f>
        <v/>
      </c>
      <c r="Q58" s="41" t="str">
        <f>IF(OR(H58="",F58=""),"",IF(H58=F58,1,IF(H58&lt;F58,0,IF(H58-F58&lt;10,2,IF(H58&gt;F58,3,SE)))))</f>
        <v/>
      </c>
      <c r="R58" s="39" t="s">
        <v>52</v>
      </c>
      <c r="T58" s="40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0"/>
      <c r="AK58" s="39"/>
      <c r="AL58" s="39"/>
    </row>
    <row r="59" spans="3:41" s="38" customFormat="1" x14ac:dyDescent="0.25">
      <c r="C59" s="41" t="str">
        <f>IF(OR(F59="",H59=""),"",IF(F59=H59,1,IF(F59&lt;H59,0,IF(F59-H59&lt;10,2,IF(F59&gt;H59,3,SE)))))</f>
        <v/>
      </c>
      <c r="D59" s="134" t="s">
        <v>20</v>
      </c>
      <c r="E59" s="135"/>
      <c r="F59" s="135"/>
      <c r="G59" s="135"/>
      <c r="H59" s="135"/>
      <c r="I59" s="135"/>
      <c r="J59" s="135"/>
      <c r="K59" s="135"/>
      <c r="L59" s="135"/>
      <c r="M59" s="135"/>
      <c r="N59" s="135"/>
      <c r="O59" s="135"/>
      <c r="P59" s="136"/>
      <c r="Q59" s="41" t="str">
        <f>IF(OR(H59="",F59=""),"",IF(H59=F59,1,IF(H59&lt;F59,0,IF(H59-F59&lt;10,2,IF(H59&gt;F59,3,SE)))))</f>
        <v/>
      </c>
      <c r="R59" s="39" t="s">
        <v>19</v>
      </c>
      <c r="T59" s="40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0"/>
      <c r="AK59" s="39"/>
      <c r="AL59" s="39"/>
    </row>
    <row r="60" spans="3:41" s="38" customFormat="1" ht="15.75" thickBot="1" x14ac:dyDescent="0.3">
      <c r="C60" s="41" t="str">
        <f>IF(OR(F60="",H60=""),"",IF(F60=H60,1,IF(F60&lt;H60,0,IF(F60-H60&lt;10,2,IF(F60&gt;H60,3,SE)))))</f>
        <v/>
      </c>
      <c r="D60" s="137"/>
      <c r="E60" s="138"/>
      <c r="F60" s="138"/>
      <c r="G60" s="138"/>
      <c r="H60" s="138"/>
      <c r="I60" s="138"/>
      <c r="J60" s="138"/>
      <c r="K60" s="138"/>
      <c r="L60" s="138"/>
      <c r="M60" s="138"/>
      <c r="N60" s="138"/>
      <c r="O60" s="138"/>
      <c r="P60" s="139"/>
      <c r="Q60" s="41" t="str">
        <f>IF(OR(H60="",F60=""),"",IF(H60=F60,1,IF(H60&lt;F60,0,IF(H60-F60&lt;10,2,IF(H60&gt;F60,3,SE)))))</f>
        <v/>
      </c>
      <c r="R60" s="39" t="s">
        <v>53</v>
      </c>
      <c r="T60" s="40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0"/>
      <c r="AK60" s="39"/>
      <c r="AL60" s="39"/>
    </row>
    <row r="61" spans="3:41" s="38" customFormat="1" ht="15.75" thickBot="1" x14ac:dyDescent="0.3">
      <c r="C61" s="41" t="str">
        <f>IF(OR(F61="",H61=""),"",IF(F61=H61,1,IF(F61&lt;H61,0,IF(F61-H61&lt;10,2,IF(F61&gt;H61,3,SE)))))</f>
        <v/>
      </c>
      <c r="Q61" s="41" t="str">
        <f>IF(OR(H61="",F61=""),"",IF(H61=F61,1,IF(H61&lt;F61,0,IF(H61-F61&lt;10,2,IF(H61&gt;F61,3,SE)))))</f>
        <v/>
      </c>
      <c r="R61" s="52"/>
      <c r="S61" s="39" t="s">
        <v>54</v>
      </c>
      <c r="T61" s="40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0"/>
      <c r="AK61" s="39"/>
      <c r="AL61" s="39"/>
    </row>
    <row r="62" spans="3:41" s="38" customFormat="1" ht="15.75" thickBot="1" x14ac:dyDescent="0.3">
      <c r="C62" s="41">
        <f>IF(OR(F62="",H62=""),"",IF(F62=H62,1,IF(F62&lt;H62,0,IF(F62-H62&lt;10,2,IF(F62&gt;H62,3,SE)))))</f>
        <v>0</v>
      </c>
      <c r="D62" s="140" t="str">
        <f>V57</f>
        <v>Tribe of Gypses</v>
      </c>
      <c r="E62" s="140"/>
      <c r="F62" s="57">
        <v>36</v>
      </c>
      <c r="G62" s="56" t="s">
        <v>21</v>
      </c>
      <c r="H62" s="55">
        <v>43</v>
      </c>
      <c r="I62" s="140" t="str">
        <f>V54</f>
        <v>US Karas</v>
      </c>
      <c r="J62" s="140"/>
      <c r="K62" s="140"/>
      <c r="L62" s="140"/>
      <c r="M62" s="140"/>
      <c r="N62" s="140"/>
      <c r="O62" s="140"/>
      <c r="P62" s="140"/>
      <c r="Q62" s="41">
        <f>IF(OR(H62="",F62=""),"",IF(H62=F62,1,IF(H62&lt;F62,0,IF(H62-F62&lt;10,2,IF(H62&gt;F62,3,SE)))))</f>
        <v>2</v>
      </c>
      <c r="R62" s="53"/>
      <c r="S62" s="39" t="s">
        <v>55</v>
      </c>
      <c r="T62" s="40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0"/>
      <c r="AK62" s="39"/>
      <c r="AL62" s="39"/>
    </row>
    <row r="63" spans="3:41" s="38" customFormat="1" x14ac:dyDescent="0.25">
      <c r="C63" s="41">
        <f>IF(OR(F63="",H63=""),"",IF(F63=H63,1,IF(F63&lt;H63,0,IF(F63-H63&lt;10,2,IF(F63&gt;H63,3,SE)))))</f>
        <v>0</v>
      </c>
      <c r="D63" s="140" t="str">
        <f>V56</f>
        <v>F.C. Bugrao</v>
      </c>
      <c r="E63" s="140"/>
      <c r="F63" s="57">
        <v>44</v>
      </c>
      <c r="G63" s="56" t="s">
        <v>21</v>
      </c>
      <c r="H63" s="55">
        <v>52</v>
      </c>
      <c r="I63" s="140" t="str">
        <f>V55</f>
        <v>BRF Igor Costa</v>
      </c>
      <c r="J63" s="140"/>
      <c r="K63" s="140"/>
      <c r="L63" s="140"/>
      <c r="M63" s="140"/>
      <c r="N63" s="140"/>
      <c r="O63" s="140"/>
      <c r="P63" s="140"/>
      <c r="Q63" s="41">
        <f>IF(OR(H63="",F63=""),"",IF(H63=F63,1,IF(H63&lt;F63,0,IF(H63-F63&lt;10,2,IF(H63&gt;F63,3,SE)))))</f>
        <v>2</v>
      </c>
      <c r="R63" s="39"/>
      <c r="S63" s="39"/>
      <c r="T63" s="40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0"/>
      <c r="AK63" s="41"/>
    </row>
    <row r="64" spans="3:41" s="38" customFormat="1" ht="15.75" thickBot="1" x14ac:dyDescent="0.3">
      <c r="C64" s="41" t="str">
        <f>IF(OR(F64="",H64=""),"",IF(F64=H64,1,IF(F64&lt;H64,0,IF(F64-H64&lt;10,2,IF(F64&gt;H64,3,SE)))))</f>
        <v/>
      </c>
      <c r="Q64" s="41" t="str">
        <f>IF(OR(H64="",F64=""),"",IF(H64=F64,1,IF(H64&lt;F64,0,IF(H64-F64&lt;10,2,IF(H64&gt;F64,3,SE)))))</f>
        <v/>
      </c>
      <c r="S64" s="39"/>
      <c r="T64" s="40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0"/>
      <c r="AK64" s="41"/>
    </row>
    <row r="65" spans="3:37" s="38" customFormat="1" x14ac:dyDescent="0.25">
      <c r="C65" s="41" t="str">
        <f>IF(OR(F65="",H65=""),"",IF(F65=H65,1,IF(F65&lt;H65,0,IF(F65-H65&lt;10,2,IF(F65&gt;H65,3,SE)))))</f>
        <v/>
      </c>
      <c r="D65" s="128" t="s">
        <v>23</v>
      </c>
      <c r="E65" s="129"/>
      <c r="F65" s="129"/>
      <c r="G65" s="129"/>
      <c r="H65" s="129"/>
      <c r="I65" s="129"/>
      <c r="J65" s="129"/>
      <c r="K65" s="129"/>
      <c r="L65" s="129"/>
      <c r="M65" s="129"/>
      <c r="N65" s="129"/>
      <c r="O65" s="129"/>
      <c r="P65" s="130"/>
      <c r="Q65" s="41" t="str">
        <f>IF(OR(H65="",F65=""),"",IF(H65=F65,1,IF(H65&lt;F65,0,IF(H65-F65&lt;10,2,IF(H65&gt;F65,3,SE)))))</f>
        <v/>
      </c>
      <c r="S65" s="39"/>
      <c r="T65" s="40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0"/>
      <c r="AK65" s="41"/>
    </row>
    <row r="66" spans="3:37" s="38" customFormat="1" ht="15.75" thickBot="1" x14ac:dyDescent="0.3">
      <c r="C66" s="41" t="str">
        <f>IF(OR(F66="",H66=""),"",IF(F66=H66,1,IF(F66&lt;H66,0,IF(F66-H66&lt;10,2,IF(F66&gt;H66,3,SE)))))</f>
        <v/>
      </c>
      <c r="D66" s="131"/>
      <c r="E66" s="132"/>
      <c r="F66" s="132"/>
      <c r="G66" s="132"/>
      <c r="H66" s="132"/>
      <c r="I66" s="132"/>
      <c r="J66" s="132"/>
      <c r="K66" s="132"/>
      <c r="L66" s="132"/>
      <c r="M66" s="132"/>
      <c r="N66" s="132"/>
      <c r="O66" s="132"/>
      <c r="P66" s="133"/>
      <c r="Q66" s="41" t="str">
        <f>IF(OR(H66="",F66=""),"",IF(H66=F66,1,IF(H66&lt;F66,0,IF(H66-F66&lt;10,2,IF(H66&gt;F66,3,SE)))))</f>
        <v/>
      </c>
      <c r="T66" s="40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0"/>
      <c r="AK66" s="41"/>
    </row>
    <row r="67" spans="3:37" s="38" customFormat="1" x14ac:dyDescent="0.25">
      <c r="C67" s="41" t="str">
        <f>IF(OR(F67="",H67=""),"",IF(F67=H67,1,IF(F67&lt;H67,0,IF(F67-H67&lt;10,2,IF(F67&gt;H67,3,SE)))))</f>
        <v/>
      </c>
      <c r="Q67" s="41" t="str">
        <f>IF(OR(H67="",F67=""),"",IF(H67=F67,1,IF(H67&lt;F67,0,IF(H67-F67&lt;10,2,IF(H67&gt;F67,3,SE)))))</f>
        <v/>
      </c>
      <c r="T67" s="40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0"/>
      <c r="AK67" s="41"/>
    </row>
    <row r="68" spans="3:37" s="38" customFormat="1" x14ac:dyDescent="0.25">
      <c r="C68" s="41">
        <f>IF(OR(F68="",H68=""),"",IF(F68=H68,1,IF(F68&lt;H68,0,IF(F68-H68&lt;10,2,IF(F68&gt;H68,3,SE)))))</f>
        <v>0</v>
      </c>
      <c r="D68" s="140" t="str">
        <f>V57</f>
        <v>Tribe of Gypses</v>
      </c>
      <c r="E68" s="140"/>
      <c r="F68" s="57">
        <v>21</v>
      </c>
      <c r="G68" s="58" t="s">
        <v>21</v>
      </c>
      <c r="H68" s="55">
        <v>30</v>
      </c>
      <c r="I68" s="140" t="str">
        <f>V55</f>
        <v>BRF Igor Costa</v>
      </c>
      <c r="J68" s="140"/>
      <c r="K68" s="140"/>
      <c r="L68" s="140"/>
      <c r="M68" s="140"/>
      <c r="N68" s="140"/>
      <c r="O68" s="140"/>
      <c r="P68" s="140"/>
      <c r="Q68" s="41">
        <f>IF(OR(H68="",F68=""),"",IF(H68=F68,1,IF(H68&lt;F68,0,IF(H68-F68&lt;10,2,IF(H68&gt;F68,3,SE)))))</f>
        <v>2</v>
      </c>
      <c r="T68" s="40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0"/>
      <c r="AK68" s="41"/>
    </row>
    <row r="69" spans="3:37" s="38" customFormat="1" x14ac:dyDescent="0.25">
      <c r="C69" s="41">
        <f>IF(OR(F69="",H69=""),"",IF(F69=H69,1,IF(F69&lt;H69,0,IF(F69-H69&lt;10,2,IF(F69&gt;H69,3,SE)))))</f>
        <v>2</v>
      </c>
      <c r="D69" s="140" t="str">
        <f>V56</f>
        <v>F.C. Bugrao</v>
      </c>
      <c r="E69" s="140"/>
      <c r="F69" s="55">
        <v>47</v>
      </c>
      <c r="G69" s="58" t="s">
        <v>21</v>
      </c>
      <c r="H69" s="57">
        <v>38</v>
      </c>
      <c r="I69" s="140" t="str">
        <f>V54</f>
        <v>US Karas</v>
      </c>
      <c r="J69" s="140"/>
      <c r="K69" s="140"/>
      <c r="L69" s="140"/>
      <c r="M69" s="140"/>
      <c r="N69" s="140"/>
      <c r="O69" s="140"/>
      <c r="P69" s="140"/>
      <c r="Q69" s="41">
        <f>IF(OR(H69="",F69=""),"",IF(H69=F69,1,IF(H69&lt;F69,0,IF(H69-F69&lt;10,2,IF(H69&gt;F69,3,SE)))))</f>
        <v>0</v>
      </c>
      <c r="T69" s="40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0"/>
      <c r="AK69" s="41"/>
    </row>
    <row r="70" spans="3:37" s="38" customFormat="1" ht="15.75" thickBot="1" x14ac:dyDescent="0.3">
      <c r="C70" s="41" t="str">
        <f>IF(OR(F70="",H70=""),"",IF(F70=H70,1,IF(F70&lt;H70,0,IF(F70-H70&lt;10,2,IF(F70&gt;H70,3,SE)))))</f>
        <v/>
      </c>
      <c r="F70" s="59"/>
      <c r="Q70" s="41" t="str">
        <f>IF(OR(H70="",F70=""),"",IF(H70=F70,1,IF(H70&lt;F70,0,IF(H70-F70&lt;10,2,IF(H70&gt;F70,3,SE)))))</f>
        <v/>
      </c>
      <c r="T70" s="40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0"/>
      <c r="AK70" s="41"/>
    </row>
    <row r="71" spans="3:37" s="38" customFormat="1" x14ac:dyDescent="0.25">
      <c r="C71" s="41" t="str">
        <f>IF(OR(F71="",H71=""),"",IF(F71=H71,1,IF(F71&lt;H71,0,IF(F71-H71&lt;10,2,IF(F71&gt;H71,3,SE)))))</f>
        <v/>
      </c>
      <c r="D71" s="128" t="s">
        <v>24</v>
      </c>
      <c r="E71" s="129"/>
      <c r="F71" s="129"/>
      <c r="G71" s="129"/>
      <c r="H71" s="129"/>
      <c r="I71" s="129"/>
      <c r="J71" s="129"/>
      <c r="K71" s="129"/>
      <c r="L71" s="129"/>
      <c r="M71" s="129"/>
      <c r="N71" s="129"/>
      <c r="O71" s="129"/>
      <c r="P71" s="130"/>
      <c r="Q71" s="41" t="str">
        <f>IF(OR(H71="",F71=""),"",IF(H71=F71,1,IF(H71&lt;F71,0,IF(H71-F71&lt;10,2,IF(H71&gt;F71,3,SE)))))</f>
        <v/>
      </c>
      <c r="T71" s="40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0"/>
      <c r="AK71" s="41"/>
    </row>
    <row r="72" spans="3:37" s="38" customFormat="1" ht="15.75" thickBot="1" x14ac:dyDescent="0.3">
      <c r="C72" s="41" t="str">
        <f>IF(OR(F72="",H72=""),"",IF(F72=H72,1,IF(F72&lt;H72,0,IF(F72-H72&lt;10,2,IF(F72&gt;H72,3,SE)))))</f>
        <v/>
      </c>
      <c r="D72" s="131"/>
      <c r="E72" s="132"/>
      <c r="F72" s="132"/>
      <c r="G72" s="132"/>
      <c r="H72" s="132"/>
      <c r="I72" s="132"/>
      <c r="J72" s="132"/>
      <c r="K72" s="132"/>
      <c r="L72" s="132"/>
      <c r="M72" s="132"/>
      <c r="N72" s="132"/>
      <c r="O72" s="132"/>
      <c r="P72" s="133"/>
      <c r="Q72" s="41" t="str">
        <f>IF(OR(H72="",F72=""),"",IF(H72=F72,1,IF(H72&lt;F72,0,IF(H72-F72&lt;10,2,IF(H72&gt;F72,3,SE)))))</f>
        <v/>
      </c>
      <c r="T72" s="40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0"/>
      <c r="AK72" s="41"/>
    </row>
    <row r="73" spans="3:37" s="38" customFormat="1" x14ac:dyDescent="0.25">
      <c r="C73" s="41" t="str">
        <f>IF(OR(F73="",H73=""),"",IF(F73=H73,1,IF(F73&lt;H73,0,IF(F73-H73&lt;10,2,IF(F73&gt;H73,3,SE)))))</f>
        <v/>
      </c>
      <c r="Q73" s="41" t="str">
        <f>IF(OR(H73="",F73=""),"",IF(H73=F73,1,IF(H73&lt;F73,0,IF(H73-F73&lt;10,2,IF(H73&gt;F73,3,SE)))))</f>
        <v/>
      </c>
      <c r="T73" s="40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0"/>
      <c r="AK73" s="41"/>
    </row>
    <row r="74" spans="3:37" s="38" customFormat="1" x14ac:dyDescent="0.25">
      <c r="C74" s="41">
        <f>IF(OR(F74="",H74=""),"",IF(F74=H74,1,IF(F74&lt;H74,0,IF(F74-H74&lt;10,2,IF(F74&gt;H74,3,SE)))))</f>
        <v>0</v>
      </c>
      <c r="D74" s="140" t="str">
        <f>V57</f>
        <v>Tribe of Gypses</v>
      </c>
      <c r="E74" s="140"/>
      <c r="F74" s="57">
        <v>62</v>
      </c>
      <c r="G74" s="58" t="s">
        <v>21</v>
      </c>
      <c r="H74" s="55">
        <v>65</v>
      </c>
      <c r="I74" s="140" t="str">
        <f>V56</f>
        <v>F.C. Bugrao</v>
      </c>
      <c r="J74" s="140"/>
      <c r="K74" s="140"/>
      <c r="L74" s="140"/>
      <c r="M74" s="140"/>
      <c r="N74" s="140"/>
      <c r="O74" s="140"/>
      <c r="P74" s="140"/>
      <c r="Q74" s="41">
        <f>IF(OR(H74="",F74=""),"",IF(H74=F74,1,IF(H74&lt;F74,0,IF(H74-F74&lt;10,2,IF(H74&gt;F74,3,SE)))))</f>
        <v>2</v>
      </c>
      <c r="T74" s="40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0"/>
      <c r="AK74" s="41"/>
    </row>
    <row r="75" spans="3:37" s="38" customFormat="1" x14ac:dyDescent="0.25">
      <c r="C75" s="41">
        <f>IF(OR(F75="",H75=""),"",IF(F75=H75,1,IF(F75&lt;H75,0,IF(F75-H75&lt;10,2,IF(F75&gt;H75,3,SE)))))</f>
        <v>3</v>
      </c>
      <c r="D75" s="140" t="str">
        <f>V55</f>
        <v>BRF Igor Costa</v>
      </c>
      <c r="E75" s="140"/>
      <c r="F75" s="55">
        <v>69</v>
      </c>
      <c r="G75" s="58" t="s">
        <v>21</v>
      </c>
      <c r="H75" s="57">
        <v>52</v>
      </c>
      <c r="I75" s="140" t="str">
        <f>V54</f>
        <v>US Karas</v>
      </c>
      <c r="J75" s="140"/>
      <c r="K75" s="140"/>
      <c r="L75" s="140"/>
      <c r="M75" s="140"/>
      <c r="N75" s="140"/>
      <c r="O75" s="140"/>
      <c r="P75" s="140"/>
      <c r="Q75" s="41">
        <f>IF(OR(H75="",F75=""),"",IF(H75=F75,1,IF(H75&lt;F75,0,IF(H75-F75&lt;10,2,IF(H75&gt;F75,3,SE)))))</f>
        <v>0</v>
      </c>
      <c r="T75" s="40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0"/>
      <c r="AK75" s="41"/>
    </row>
    <row r="76" spans="3:37" s="38" customFormat="1" ht="15.75" thickBot="1" x14ac:dyDescent="0.3">
      <c r="C76" s="41" t="str">
        <f>IF(OR(F76="",H76=""),"",IF(F76=H76,1,IF(F76&lt;H76,0,IF(F76-H76&lt;10,2,IF(F76&gt;H76,3,SE)))))</f>
        <v/>
      </c>
      <c r="Q76" s="41" t="str">
        <f>IF(OR(H76="",F76=""),"",IF(H76=F76,1,IF(H76&lt;F76,0,IF(H76-F76&lt;10,2,IF(H76&gt;F76,3,SE)))))</f>
        <v/>
      </c>
      <c r="T76" s="40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0"/>
      <c r="AK76" s="41"/>
    </row>
    <row r="77" spans="3:37" s="38" customFormat="1" x14ac:dyDescent="0.25">
      <c r="C77" s="41" t="str">
        <f>IF(OR(F77="",H77=""),"",IF(F77=H77,1,IF(F77&lt;H77,0,IF(F77-H77&lt;10,2,IF(F77&gt;H77,3,SE)))))</f>
        <v/>
      </c>
      <c r="D77" s="128" t="s">
        <v>25</v>
      </c>
      <c r="E77" s="129"/>
      <c r="F77" s="129"/>
      <c r="G77" s="129"/>
      <c r="H77" s="129"/>
      <c r="I77" s="129"/>
      <c r="J77" s="129"/>
      <c r="K77" s="129"/>
      <c r="L77" s="129"/>
      <c r="M77" s="129"/>
      <c r="N77" s="129"/>
      <c r="O77" s="129"/>
      <c r="P77" s="130"/>
      <c r="Q77" s="41" t="str">
        <f>IF(OR(H77="",F77=""),"",IF(H77=F77,1,IF(H77&lt;F77,0,IF(H77-F77&lt;10,2,IF(H77&gt;F77,3,SE)))))</f>
        <v/>
      </c>
      <c r="T77" s="40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0"/>
      <c r="AK77" s="41"/>
    </row>
    <row r="78" spans="3:37" s="38" customFormat="1" ht="15.75" thickBot="1" x14ac:dyDescent="0.3">
      <c r="C78" s="41" t="str">
        <f>IF(OR(F78="",H78=""),"",IF(F78=H78,1,IF(F78&lt;H78,0,IF(F78-H78&lt;10,2,IF(F78&gt;H78,3,SE)))))</f>
        <v/>
      </c>
      <c r="D78" s="131"/>
      <c r="E78" s="132"/>
      <c r="F78" s="132"/>
      <c r="G78" s="132"/>
      <c r="H78" s="132"/>
      <c r="I78" s="132"/>
      <c r="J78" s="132"/>
      <c r="K78" s="132"/>
      <c r="L78" s="132"/>
      <c r="M78" s="132"/>
      <c r="N78" s="132"/>
      <c r="O78" s="132"/>
      <c r="P78" s="133"/>
      <c r="Q78" s="41" t="str">
        <f>IF(OR(H78="",F78=""),"",IF(H78=F78,1,IF(H78&lt;F78,0,IF(H78-F78&lt;10,2,IF(H78&gt;F78,3,SE)))))</f>
        <v/>
      </c>
      <c r="T78" s="40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0"/>
      <c r="AK78" s="41"/>
    </row>
    <row r="79" spans="3:37" s="38" customFormat="1" x14ac:dyDescent="0.25">
      <c r="C79" s="41" t="str">
        <f>IF(OR(F79="",H79=""),"",IF(F79=H79,1,IF(F79&lt;H79,0,IF(F79-H79&lt;10,2,IF(F79&gt;H79,3,SE)))))</f>
        <v/>
      </c>
      <c r="Q79" s="41" t="str">
        <f>IF(OR(H79="",F79=""),"",IF(H79=F79,1,IF(H79&lt;F79,0,IF(H79-F79&lt;10,2,IF(H79&gt;F79,3,SE)))))</f>
        <v/>
      </c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39"/>
      <c r="AJ79" s="39"/>
      <c r="AK79" s="41"/>
    </row>
    <row r="80" spans="3:37" s="38" customFormat="1" x14ac:dyDescent="0.25">
      <c r="C80" s="41">
        <f>IF(OR(F80="",H80=""),"",IF(F80=H80,1,IF(F80&lt;H80,0,IF(F80-H80&lt;10,2,IF(F80&gt;H80,3,SE)))))</f>
        <v>3</v>
      </c>
      <c r="D80" s="140" t="str">
        <f>V57</f>
        <v>Tribe of Gypses</v>
      </c>
      <c r="E80" s="140"/>
      <c r="F80" s="55">
        <v>69</v>
      </c>
      <c r="G80" s="58" t="s">
        <v>21</v>
      </c>
      <c r="H80" s="57">
        <v>49</v>
      </c>
      <c r="I80" s="140" t="str">
        <f>V54</f>
        <v>US Karas</v>
      </c>
      <c r="J80" s="140"/>
      <c r="K80" s="140"/>
      <c r="L80" s="140"/>
      <c r="M80" s="140"/>
      <c r="N80" s="140"/>
      <c r="O80" s="140"/>
      <c r="P80" s="140"/>
      <c r="Q80" s="41">
        <f>IF(OR(H80="",F80=""),"",IF(H80=F80,1,IF(H80&lt;F80,0,IF(H80-F80&lt;10,2,IF(H80&gt;F80,3,SE)))))</f>
        <v>0</v>
      </c>
      <c r="T80" s="41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41"/>
    </row>
    <row r="81" spans="3:37" s="38" customFormat="1" x14ac:dyDescent="0.25">
      <c r="C81" s="41">
        <f>IF(OR(F81="",H81=""),"",IF(F81=H81,1,IF(F81&lt;H81,0,IF(F81-H81&lt;10,2,IF(F81&gt;H81,3,SE)))))</f>
        <v>2</v>
      </c>
      <c r="D81" s="140" t="str">
        <f>V56</f>
        <v>F.C. Bugrao</v>
      </c>
      <c r="E81" s="140"/>
      <c r="F81" s="55">
        <v>65</v>
      </c>
      <c r="G81" s="58" t="s">
        <v>21</v>
      </c>
      <c r="H81" s="57">
        <v>56</v>
      </c>
      <c r="I81" s="140" t="str">
        <f>V55</f>
        <v>BRF Igor Costa</v>
      </c>
      <c r="J81" s="140"/>
      <c r="K81" s="140"/>
      <c r="L81" s="140"/>
      <c r="M81" s="140"/>
      <c r="N81" s="140"/>
      <c r="O81" s="140"/>
      <c r="P81" s="140"/>
      <c r="Q81" s="41">
        <f>IF(OR(H81="",F81=""),"",IF(H81=F81,1,IF(H81&lt;F81,0,IF(H81-F81&lt;10,2,IF(H81&gt;F81,3,SE)))))</f>
        <v>0</v>
      </c>
      <c r="T81" s="41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41"/>
    </row>
    <row r="82" spans="3:37" s="38" customFormat="1" ht="15.75" thickBot="1" x14ac:dyDescent="0.3">
      <c r="C82" s="41" t="str">
        <f>IF(OR(F82="",H82=""),"",IF(F82=H82,1,IF(F82&lt;H82,0,IF(F82-H82&lt;10,2,IF(F82&gt;H82,3,SE)))))</f>
        <v/>
      </c>
      <c r="Q82" s="41" t="str">
        <f>IF(OR(H82="",F82=""),"",IF(H82=F82,1,IF(H82&lt;F82,0,IF(H82-F82&lt;10,2,IF(H82&gt;F82,3,SE)))))</f>
        <v/>
      </c>
      <c r="T82" s="41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41"/>
    </row>
    <row r="83" spans="3:37" s="38" customFormat="1" x14ac:dyDescent="0.25">
      <c r="C83" s="41" t="str">
        <f>IF(OR(F83="",H83=""),"",IF(F83=H83,1,IF(F83&lt;H83,0,IF(F83-H83&lt;10,2,IF(F83&gt;H83,3,SE)))))</f>
        <v/>
      </c>
      <c r="D83" s="128" t="s">
        <v>26</v>
      </c>
      <c r="E83" s="129"/>
      <c r="F83" s="129"/>
      <c r="G83" s="129"/>
      <c r="H83" s="129"/>
      <c r="I83" s="129"/>
      <c r="J83" s="129"/>
      <c r="K83" s="129"/>
      <c r="L83" s="129"/>
      <c r="M83" s="129"/>
      <c r="N83" s="129"/>
      <c r="O83" s="129"/>
      <c r="P83" s="130"/>
      <c r="Q83" s="41" t="str">
        <f>IF(OR(H83="",F83=""),"",IF(H83=F83,1,IF(H83&lt;F83,0,IF(H83-F83&lt;10,2,IF(H83&gt;F83,3,SE)))))</f>
        <v/>
      </c>
      <c r="T83" s="41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41"/>
    </row>
    <row r="84" spans="3:37" s="38" customFormat="1" ht="15.75" thickBot="1" x14ac:dyDescent="0.3">
      <c r="C84" s="41" t="str">
        <f>IF(OR(F84="",H84=""),"",IF(F84=H84,1,IF(F84&lt;H84,0,IF(F84-H84&lt;10,2,IF(F84&gt;H84,3,SE)))))</f>
        <v/>
      </c>
      <c r="D84" s="131"/>
      <c r="E84" s="132"/>
      <c r="F84" s="132"/>
      <c r="G84" s="132"/>
      <c r="H84" s="132"/>
      <c r="I84" s="132"/>
      <c r="J84" s="132"/>
      <c r="K84" s="132"/>
      <c r="L84" s="132"/>
      <c r="M84" s="132"/>
      <c r="N84" s="132"/>
      <c r="O84" s="132"/>
      <c r="P84" s="133"/>
      <c r="Q84" s="41" t="str">
        <f>IF(OR(H84="",F84=""),"",IF(H84=F84,1,IF(H84&lt;F84,0,IF(H84-F84&lt;10,2,IF(H84&gt;F84,3,SE)))))</f>
        <v/>
      </c>
      <c r="T84" s="41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41"/>
    </row>
    <row r="85" spans="3:37" s="38" customFormat="1" x14ac:dyDescent="0.25">
      <c r="C85" s="41" t="str">
        <f>IF(OR(F85="",H85=""),"",IF(F85=H85,1,IF(F85&lt;H85,0,IF(F85-H85&lt;10,2,IF(F85&gt;H85,3,SE)))))</f>
        <v/>
      </c>
      <c r="Q85" s="41" t="str">
        <f>IF(OR(H85="",F85=""),"",IF(H85=F85,1,IF(H85&lt;F85,0,IF(H85-F85&lt;10,2,IF(H85&gt;F85,3,SE)))))</f>
        <v/>
      </c>
      <c r="T85" s="41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41"/>
    </row>
    <row r="86" spans="3:37" s="38" customFormat="1" x14ac:dyDescent="0.25">
      <c r="C86" s="41">
        <f>IF(OR(F86="",H86=""),"",IF(F86=H86,1,IF(F86&lt;H86,0,IF(F86-H86&lt;10,2,IF(F86&gt;H86,3,SE)))))</f>
        <v>3</v>
      </c>
      <c r="D86" s="140" t="str">
        <f>V57</f>
        <v>Tribe of Gypses</v>
      </c>
      <c r="E86" s="140"/>
      <c r="F86" s="55">
        <v>62</v>
      </c>
      <c r="G86" s="58" t="s">
        <v>21</v>
      </c>
      <c r="H86" s="57">
        <v>39</v>
      </c>
      <c r="I86" s="140" t="str">
        <f>V55</f>
        <v>BRF Igor Costa</v>
      </c>
      <c r="J86" s="140"/>
      <c r="K86" s="140"/>
      <c r="L86" s="140"/>
      <c r="M86" s="140"/>
      <c r="N86" s="140"/>
      <c r="O86" s="140"/>
      <c r="P86" s="140"/>
      <c r="Q86" s="41">
        <f>IF(OR(H86="",F86=""),"",IF(H86=F86,1,IF(H86&lt;F86,0,IF(H86-F86&lt;10,2,IF(H86&gt;F86,3,SE)))))</f>
        <v>0</v>
      </c>
      <c r="T86" s="41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41"/>
    </row>
    <row r="87" spans="3:37" s="38" customFormat="1" x14ac:dyDescent="0.25">
      <c r="C87" s="41">
        <f>IF(OR(F87="",H87=""),"",IF(F87=H87,1,IF(F87&lt;H87,0,IF(F87-H87&lt;10,2,IF(F87&gt;H87,3,SE)))))</f>
        <v>0</v>
      </c>
      <c r="D87" s="140" t="str">
        <f>V56</f>
        <v>F.C. Bugrao</v>
      </c>
      <c r="E87" s="140"/>
      <c r="F87" s="57">
        <v>39</v>
      </c>
      <c r="G87" s="58" t="s">
        <v>21</v>
      </c>
      <c r="H87" s="55">
        <v>49</v>
      </c>
      <c r="I87" s="140" t="str">
        <f>V54</f>
        <v>US Karas</v>
      </c>
      <c r="J87" s="140"/>
      <c r="K87" s="140"/>
      <c r="L87" s="140"/>
      <c r="M87" s="140"/>
      <c r="N87" s="140"/>
      <c r="O87" s="140"/>
      <c r="P87" s="140"/>
      <c r="Q87" s="41">
        <f>IF(OR(H87="",F87=""),"",IF(H87=F87,1,IF(H87&lt;F87,0,IF(H87-F87&lt;10,2,IF(H87&gt;F87,3,SE)))))</f>
        <v>3</v>
      </c>
      <c r="T87" s="41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41"/>
    </row>
    <row r="88" spans="3:37" s="38" customFormat="1" ht="15.75" thickBot="1" x14ac:dyDescent="0.3">
      <c r="C88" s="41" t="str">
        <f>IF(OR(F88="",H88=""),"",IF(F88=H88,1,IF(F88&lt;H88,0,IF(F88-H88&lt;10,2,IF(F88&gt;H88,3,SE)))))</f>
        <v/>
      </c>
      <c r="Q88" s="41" t="str">
        <f>IF(OR(H88="",F88=""),"",IF(H88=F88,1,IF(H88&lt;F88,0,IF(H88-F88&lt;10,2,IF(H88&gt;F88,3,SE)))))</f>
        <v/>
      </c>
      <c r="T88" s="41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41"/>
    </row>
    <row r="89" spans="3:37" s="38" customFormat="1" x14ac:dyDescent="0.25">
      <c r="C89" s="41" t="str">
        <f>IF(OR(F89="",H89=""),"",IF(F89=H89,1,IF(F89&lt;H89,0,IF(F89-H89&lt;10,2,IF(F89&gt;H89,3,SE)))))</f>
        <v/>
      </c>
      <c r="D89" s="128" t="s">
        <v>27</v>
      </c>
      <c r="E89" s="129"/>
      <c r="F89" s="129"/>
      <c r="G89" s="129"/>
      <c r="H89" s="129"/>
      <c r="I89" s="129"/>
      <c r="J89" s="129"/>
      <c r="K89" s="129"/>
      <c r="L89" s="129"/>
      <c r="M89" s="129"/>
      <c r="N89" s="129"/>
      <c r="O89" s="129"/>
      <c r="P89" s="130"/>
      <c r="Q89" s="41" t="str">
        <f>IF(OR(H89="",F89=""),"",IF(H89=F89,1,IF(H89&lt;F89,0,IF(H89-F89&lt;10,2,IF(H89&gt;F89,3,SE)))))</f>
        <v/>
      </c>
      <c r="T89" s="41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41"/>
    </row>
    <row r="90" spans="3:37" s="38" customFormat="1" ht="15.75" thickBot="1" x14ac:dyDescent="0.3">
      <c r="C90" s="41" t="str">
        <f>IF(OR(F90="",H90=""),"",IF(F90=H90,1,IF(F90&lt;H90,0,IF(F90-H90&lt;10,2,IF(F90&gt;H90,3,SE)))))</f>
        <v/>
      </c>
      <c r="D90" s="131"/>
      <c r="E90" s="132"/>
      <c r="F90" s="132"/>
      <c r="G90" s="132"/>
      <c r="H90" s="132"/>
      <c r="I90" s="132"/>
      <c r="J90" s="132"/>
      <c r="K90" s="132"/>
      <c r="L90" s="132"/>
      <c r="M90" s="132"/>
      <c r="N90" s="132"/>
      <c r="O90" s="132"/>
      <c r="P90" s="133"/>
      <c r="Q90" s="41" t="str">
        <f>IF(OR(H90="",F90=""),"",IF(H90=F90,1,IF(H90&lt;F90,0,IF(H90-F90&lt;10,2,IF(H90&gt;F90,3,SE)))))</f>
        <v/>
      </c>
      <c r="T90" s="41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41"/>
    </row>
    <row r="91" spans="3:37" s="38" customFormat="1" x14ac:dyDescent="0.25">
      <c r="C91" s="41" t="str">
        <f>IF(OR(F91="",H91=""),"",IF(F91=H91,1,IF(F91&lt;H91,0,IF(F91-H91&lt;10,2,IF(F91&gt;H91,3,SE)))))</f>
        <v/>
      </c>
      <c r="Q91" s="41" t="str">
        <f>IF(OR(H91="",F91=""),"",IF(H91=F91,1,IF(H91&lt;F91,0,IF(H91-F91&lt;10,2,IF(H91&gt;F91,3,SE)))))</f>
        <v/>
      </c>
      <c r="T91" s="41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41"/>
    </row>
    <row r="92" spans="3:37" s="38" customFormat="1" x14ac:dyDescent="0.25">
      <c r="C92" s="41">
        <f>IF(OR(F92="",H92=""),"",IF(F92=H92,1,IF(F92&lt;H92,0,IF(F92-H92&lt;10,2,IF(F92&gt;H92,3,SE)))))</f>
        <v>2</v>
      </c>
      <c r="D92" s="140" t="str">
        <f>V57</f>
        <v>Tribe of Gypses</v>
      </c>
      <c r="E92" s="140"/>
      <c r="F92" s="55">
        <v>46</v>
      </c>
      <c r="G92" s="56" t="s">
        <v>21</v>
      </c>
      <c r="H92" s="57">
        <v>41</v>
      </c>
      <c r="I92" s="140" t="str">
        <f>V56</f>
        <v>F.C. Bugrao</v>
      </c>
      <c r="J92" s="140"/>
      <c r="K92" s="140"/>
      <c r="L92" s="140"/>
      <c r="M92" s="140"/>
      <c r="N92" s="140"/>
      <c r="O92" s="140"/>
      <c r="P92" s="140"/>
      <c r="Q92" s="41">
        <f>IF(OR(H92="",F92=""),"",IF(H92=F92,1,IF(H92&lt;F92,0,IF(H92-F92&lt;10,2,IF(H92&gt;F92,3,SE)))))</f>
        <v>0</v>
      </c>
      <c r="T92" s="41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41"/>
    </row>
    <row r="93" spans="3:37" s="38" customFormat="1" x14ac:dyDescent="0.25">
      <c r="C93" s="41">
        <f>IF(OR(F93="",H93=""),"",IF(F93=H93,1,IF(F93&lt;H93,0,IF(F93-H93&lt;10,2,IF(F93&gt;H93,3,SE)))))</f>
        <v>0</v>
      </c>
      <c r="D93" s="140" t="str">
        <f>V55</f>
        <v>BRF Igor Costa</v>
      </c>
      <c r="E93" s="140"/>
      <c r="F93" s="57">
        <v>48</v>
      </c>
      <c r="G93" s="56" t="s">
        <v>21</v>
      </c>
      <c r="H93" s="55">
        <v>54</v>
      </c>
      <c r="I93" s="140" t="str">
        <f>V54</f>
        <v>US Karas</v>
      </c>
      <c r="J93" s="140"/>
      <c r="K93" s="140"/>
      <c r="L93" s="140"/>
      <c r="M93" s="140"/>
      <c r="N93" s="140"/>
      <c r="O93" s="140"/>
      <c r="P93" s="140"/>
      <c r="Q93" s="41">
        <f>IF(OR(H93="",F93=""),"",IF(H93=F93,1,IF(H93&lt;F93,0,IF(H93-F93&lt;10,2,IF(H93&gt;F93,3,SE)))))</f>
        <v>2</v>
      </c>
      <c r="T93" s="41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41"/>
    </row>
    <row r="94" spans="3:37" s="38" customFormat="1" ht="15.75" thickBot="1" x14ac:dyDescent="0.3">
      <c r="C94" s="41"/>
      <c r="D94" s="62"/>
      <c r="E94" s="62"/>
      <c r="F94" s="63"/>
      <c r="G94" s="64"/>
      <c r="H94" s="63"/>
      <c r="I94" s="62"/>
      <c r="J94" s="62"/>
      <c r="K94" s="62"/>
      <c r="L94" s="62"/>
      <c r="M94" s="62"/>
      <c r="N94" s="62"/>
      <c r="O94" s="62"/>
      <c r="P94" s="62"/>
      <c r="Q94" s="41"/>
      <c r="T94" s="41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41"/>
    </row>
    <row r="95" spans="3:37" s="38" customFormat="1" x14ac:dyDescent="0.25">
      <c r="C95" s="40"/>
      <c r="D95" s="119" t="s">
        <v>56</v>
      </c>
      <c r="E95" s="120"/>
      <c r="F95" s="120"/>
      <c r="G95" s="120"/>
      <c r="H95" s="120"/>
      <c r="I95" s="120"/>
      <c r="J95" s="120"/>
      <c r="K95" s="120"/>
      <c r="L95" s="120"/>
      <c r="M95" s="120"/>
      <c r="N95" s="120"/>
      <c r="O95" s="120"/>
      <c r="P95" s="120"/>
      <c r="Q95" s="120"/>
      <c r="R95" s="120"/>
      <c r="S95" s="120"/>
      <c r="T95" s="120"/>
      <c r="U95" s="120"/>
      <c r="V95" s="120"/>
      <c r="W95" s="120"/>
      <c r="X95" s="120"/>
      <c r="Y95" s="121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41"/>
    </row>
    <row r="96" spans="3:37" s="38" customFormat="1" x14ac:dyDescent="0.25">
      <c r="C96" s="40"/>
      <c r="D96" s="122"/>
      <c r="E96" s="123"/>
      <c r="F96" s="123"/>
      <c r="G96" s="123"/>
      <c r="H96" s="123"/>
      <c r="I96" s="123"/>
      <c r="J96" s="123"/>
      <c r="K96" s="123"/>
      <c r="L96" s="123"/>
      <c r="M96" s="123"/>
      <c r="N96" s="123"/>
      <c r="O96" s="123"/>
      <c r="P96" s="123"/>
      <c r="Q96" s="123"/>
      <c r="R96" s="123"/>
      <c r="S96" s="123"/>
      <c r="T96" s="123"/>
      <c r="U96" s="123"/>
      <c r="V96" s="123"/>
      <c r="W96" s="123"/>
      <c r="X96" s="123"/>
      <c r="Y96" s="124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41"/>
    </row>
    <row r="97" spans="3:37" s="38" customFormat="1" ht="15.75" thickBot="1" x14ac:dyDescent="0.3">
      <c r="C97" s="40"/>
      <c r="D97" s="125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  <c r="Q97" s="126"/>
      <c r="R97" s="126"/>
      <c r="S97" s="126"/>
      <c r="T97" s="126"/>
      <c r="U97" s="126"/>
      <c r="V97" s="126"/>
      <c r="W97" s="126"/>
      <c r="X97" s="126"/>
      <c r="Y97" s="127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41"/>
    </row>
    <row r="98" spans="3:37" s="38" customFormat="1" ht="18.75" customHeight="1" x14ac:dyDescent="0.25">
      <c r="C98" s="40"/>
      <c r="D98" s="65"/>
      <c r="E98" s="66"/>
      <c r="F98" s="66"/>
      <c r="G98" s="66"/>
      <c r="H98" s="66"/>
      <c r="I98" s="66"/>
      <c r="J98" s="66"/>
      <c r="K98" s="141" t="s">
        <v>30</v>
      </c>
      <c r="L98" s="142"/>
      <c r="M98" s="142"/>
      <c r="N98" s="142"/>
      <c r="O98" s="142"/>
      <c r="P98" s="142"/>
      <c r="Q98" s="142"/>
      <c r="R98" s="143"/>
      <c r="S98" s="66"/>
      <c r="T98" s="66"/>
      <c r="U98" s="66"/>
      <c r="V98" s="66"/>
      <c r="W98" s="66"/>
      <c r="X98" s="66"/>
      <c r="Y98" s="67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41"/>
    </row>
    <row r="99" spans="3:37" s="38" customFormat="1" ht="15.75" customHeight="1" thickBot="1" x14ac:dyDescent="0.3">
      <c r="C99" s="40"/>
      <c r="D99" s="65"/>
      <c r="E99" s="66"/>
      <c r="F99" s="66"/>
      <c r="G99" s="66"/>
      <c r="H99" s="66"/>
      <c r="I99" s="66"/>
      <c r="J99" s="66"/>
      <c r="K99" s="144"/>
      <c r="L99" s="145"/>
      <c r="M99" s="145"/>
      <c r="N99" s="145"/>
      <c r="O99" s="145"/>
      <c r="P99" s="145"/>
      <c r="Q99" s="145"/>
      <c r="R99" s="146"/>
      <c r="S99" s="66"/>
      <c r="T99" s="66"/>
      <c r="U99" s="66"/>
      <c r="V99" s="66"/>
      <c r="W99" s="66"/>
      <c r="X99" s="66"/>
      <c r="Y99" s="67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41"/>
    </row>
    <row r="100" spans="3:37" s="38" customFormat="1" x14ac:dyDescent="0.25">
      <c r="C100" s="40"/>
      <c r="D100" s="147" t="s">
        <v>31</v>
      </c>
      <c r="E100" s="147" t="str">
        <f>IF(OR(F49="",H49=""),"3º GRUPO I",E12)</f>
        <v>.In$a.nyo$.Br</v>
      </c>
      <c r="F100" s="149"/>
      <c r="G100" s="149"/>
      <c r="H100" s="149"/>
      <c r="I100" s="149"/>
      <c r="J100" s="149"/>
      <c r="K100" s="149"/>
      <c r="L100" s="150"/>
      <c r="M100" s="95">
        <v>43.51</v>
      </c>
      <c r="N100" s="68" t="s">
        <v>32</v>
      </c>
      <c r="O100" s="97">
        <v>44.51</v>
      </c>
      <c r="P100" s="147" t="str">
        <f>IF(OR(F93="",H93=""),"4º GRUPO II",E57)</f>
        <v>F.C. Bugrao</v>
      </c>
      <c r="Q100" s="149"/>
      <c r="R100" s="149"/>
      <c r="S100" s="149"/>
      <c r="T100" s="149"/>
      <c r="U100" s="149"/>
      <c r="V100" s="149"/>
      <c r="W100" s="149"/>
      <c r="X100" s="149"/>
      <c r="Y100" s="150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41"/>
    </row>
    <row r="101" spans="3:37" s="38" customFormat="1" ht="15.75" thickBot="1" x14ac:dyDescent="0.3">
      <c r="C101" s="40"/>
      <c r="D101" s="148"/>
      <c r="E101" s="151"/>
      <c r="F101" s="152"/>
      <c r="G101" s="152"/>
      <c r="H101" s="152"/>
      <c r="I101" s="152"/>
      <c r="J101" s="152"/>
      <c r="K101" s="152"/>
      <c r="L101" s="153"/>
      <c r="M101" s="107">
        <v>48.41</v>
      </c>
      <c r="N101" s="69" t="s">
        <v>32</v>
      </c>
      <c r="O101" s="99">
        <v>41.75</v>
      </c>
      <c r="P101" s="151"/>
      <c r="Q101" s="152"/>
      <c r="R101" s="152"/>
      <c r="S101" s="152"/>
      <c r="T101" s="152"/>
      <c r="U101" s="152"/>
      <c r="V101" s="152"/>
      <c r="W101" s="152"/>
      <c r="X101" s="152"/>
      <c r="Y101" s="153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41"/>
    </row>
    <row r="102" spans="3:37" s="38" customFormat="1" ht="18.75" customHeight="1" thickBot="1" x14ac:dyDescent="0.3">
      <c r="C102" s="40"/>
      <c r="D102" s="70"/>
      <c r="E102" s="71"/>
      <c r="F102" s="72"/>
      <c r="G102" s="72"/>
      <c r="H102" s="72"/>
      <c r="I102" s="72"/>
      <c r="J102" s="72"/>
      <c r="K102" s="72"/>
      <c r="L102" s="73"/>
      <c r="M102" s="108">
        <f>IF(OR(M101="",O100=""),"",SUM(M100:M101))</f>
        <v>91.919999999999987</v>
      </c>
      <c r="N102" s="74"/>
      <c r="O102" s="100">
        <f>IF(OR(M101="",O100=""),"",SUM(O100:O101))</f>
        <v>86.259999999999991</v>
      </c>
      <c r="P102" s="154"/>
      <c r="Q102" s="155"/>
      <c r="R102" s="155"/>
      <c r="S102" s="155"/>
      <c r="T102" s="155"/>
      <c r="U102" s="155"/>
      <c r="V102" s="155"/>
      <c r="W102" s="155"/>
      <c r="X102" s="155"/>
      <c r="Y102" s="156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41"/>
    </row>
    <row r="103" spans="3:37" s="38" customFormat="1" x14ac:dyDescent="0.25">
      <c r="C103" s="40"/>
      <c r="D103" s="148" t="s">
        <v>33</v>
      </c>
      <c r="E103" s="147" t="str">
        <f>IF(OR(F93="",H93=""),"3º GRUPO II",E56)</f>
        <v>US Karas</v>
      </c>
      <c r="F103" s="149"/>
      <c r="G103" s="149"/>
      <c r="H103" s="149"/>
      <c r="I103" s="149"/>
      <c r="J103" s="149"/>
      <c r="K103" s="149"/>
      <c r="L103" s="150"/>
      <c r="M103" s="98">
        <v>51.01</v>
      </c>
      <c r="N103" s="75" t="s">
        <v>32</v>
      </c>
      <c r="O103" s="96">
        <v>49.12</v>
      </c>
      <c r="P103" s="147" t="str">
        <f>IF(OR(F49="",H49=""),"4º GRUPO I",E13)</f>
        <v>Stars United</v>
      </c>
      <c r="Q103" s="149"/>
      <c r="R103" s="149"/>
      <c r="S103" s="149"/>
      <c r="T103" s="149"/>
      <c r="U103" s="149"/>
      <c r="V103" s="149"/>
      <c r="W103" s="149"/>
      <c r="X103" s="149"/>
      <c r="Y103" s="150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41"/>
    </row>
    <row r="104" spans="3:37" s="38" customFormat="1" ht="15.75" thickBot="1" x14ac:dyDescent="0.3">
      <c r="C104" s="40"/>
      <c r="D104" s="148"/>
      <c r="E104" s="151"/>
      <c r="F104" s="152"/>
      <c r="G104" s="152"/>
      <c r="H104" s="152"/>
      <c r="I104" s="152"/>
      <c r="J104" s="152"/>
      <c r="K104" s="152"/>
      <c r="L104" s="153"/>
      <c r="M104" s="109">
        <v>40.56</v>
      </c>
      <c r="N104" s="76" t="s">
        <v>32</v>
      </c>
      <c r="O104" s="101">
        <v>8.35</v>
      </c>
      <c r="P104" s="151"/>
      <c r="Q104" s="152"/>
      <c r="R104" s="152"/>
      <c r="S104" s="152"/>
      <c r="T104" s="152"/>
      <c r="U104" s="152"/>
      <c r="V104" s="152"/>
      <c r="W104" s="152"/>
      <c r="X104" s="152"/>
      <c r="Y104" s="153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41"/>
    </row>
    <row r="105" spans="3:37" s="38" customFormat="1" ht="15.75" thickBot="1" x14ac:dyDescent="0.3">
      <c r="C105" s="40"/>
      <c r="D105" s="77"/>
      <c r="E105" s="77"/>
      <c r="F105" s="78"/>
      <c r="G105" s="78"/>
      <c r="H105" s="78"/>
      <c r="I105" s="78"/>
      <c r="J105" s="78"/>
      <c r="K105" s="78"/>
      <c r="L105" s="79"/>
      <c r="M105" s="110">
        <f>IF(OR(M104="",O103=""),"",SUM(M103:M104))</f>
        <v>91.57</v>
      </c>
      <c r="N105" s="80"/>
      <c r="O105" s="102">
        <f>IF(OR(M104="",O103=""),"",SUM(O103:O104))</f>
        <v>57.47</v>
      </c>
      <c r="P105" s="157"/>
      <c r="Q105" s="158"/>
      <c r="R105" s="158"/>
      <c r="S105" s="158"/>
      <c r="T105" s="158"/>
      <c r="U105" s="158"/>
      <c r="V105" s="158"/>
      <c r="W105" s="158"/>
      <c r="X105" s="158"/>
      <c r="Y105" s="15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41"/>
    </row>
    <row r="106" spans="3:37" s="38" customFormat="1" ht="15.75" thickBot="1" x14ac:dyDescent="0.3">
      <c r="C106" s="40" t="str">
        <f>IF(OR(F106="",H106=""),"",IF(F106=H106,1,IF(F106&lt;H106,0,IF(F106-H106&lt;10,2,IF(F106&gt;H106,3,SE)))))</f>
        <v/>
      </c>
      <c r="Q106" s="39" t="str">
        <f>IF(OR(H106="",F106=""),"",IF(H106=F106,1,IF(H106&lt;F106,0,IF(H106-F106&lt;10,2,IF(H106&gt;F106,3,SE)))))</f>
        <v/>
      </c>
      <c r="T106" s="41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41"/>
    </row>
    <row r="107" spans="3:37" s="38" customFormat="1" x14ac:dyDescent="0.25">
      <c r="C107" s="40"/>
      <c r="D107" s="119" t="s">
        <v>29</v>
      </c>
      <c r="E107" s="120"/>
      <c r="F107" s="120"/>
      <c r="G107" s="120"/>
      <c r="H107" s="120"/>
      <c r="I107" s="120"/>
      <c r="J107" s="120"/>
      <c r="K107" s="120"/>
      <c r="L107" s="120"/>
      <c r="M107" s="120"/>
      <c r="N107" s="120"/>
      <c r="O107" s="120"/>
      <c r="P107" s="120"/>
      <c r="Q107" s="120"/>
      <c r="R107" s="120"/>
      <c r="S107" s="120"/>
      <c r="T107" s="120"/>
      <c r="U107" s="120"/>
      <c r="V107" s="120"/>
      <c r="W107" s="120"/>
      <c r="X107" s="120"/>
      <c r="Y107" s="121"/>
    </row>
    <row r="108" spans="3:37" s="38" customFormat="1" x14ac:dyDescent="0.25">
      <c r="C108" s="40"/>
      <c r="D108" s="122"/>
      <c r="E108" s="123"/>
      <c r="F108" s="123"/>
      <c r="G108" s="123"/>
      <c r="H108" s="123"/>
      <c r="I108" s="123"/>
      <c r="J108" s="123"/>
      <c r="K108" s="123"/>
      <c r="L108" s="123"/>
      <c r="M108" s="123"/>
      <c r="N108" s="123"/>
      <c r="O108" s="123"/>
      <c r="P108" s="123"/>
      <c r="Q108" s="123"/>
      <c r="R108" s="123"/>
      <c r="S108" s="123"/>
      <c r="T108" s="123"/>
      <c r="U108" s="123"/>
      <c r="V108" s="123"/>
      <c r="W108" s="123"/>
      <c r="X108" s="123"/>
      <c r="Y108" s="124"/>
    </row>
    <row r="109" spans="3:37" s="38" customFormat="1" ht="15.75" thickBot="1" x14ac:dyDescent="0.3">
      <c r="C109" s="40"/>
      <c r="D109" s="125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  <c r="Q109" s="126"/>
      <c r="R109" s="126"/>
      <c r="S109" s="126"/>
      <c r="T109" s="126"/>
      <c r="U109" s="126"/>
      <c r="V109" s="126"/>
      <c r="W109" s="126"/>
      <c r="X109" s="126"/>
      <c r="Y109" s="127"/>
    </row>
    <row r="110" spans="3:37" s="38" customFormat="1" ht="15.75" customHeight="1" x14ac:dyDescent="0.25">
      <c r="C110" s="40"/>
      <c r="D110" s="65"/>
      <c r="E110" s="66"/>
      <c r="F110" s="66"/>
      <c r="G110" s="66"/>
      <c r="H110" s="66"/>
      <c r="I110" s="66"/>
      <c r="J110" s="66"/>
      <c r="K110" s="141" t="s">
        <v>30</v>
      </c>
      <c r="L110" s="142"/>
      <c r="M110" s="142"/>
      <c r="N110" s="142"/>
      <c r="O110" s="142"/>
      <c r="P110" s="142"/>
      <c r="Q110" s="142"/>
      <c r="R110" s="143"/>
      <c r="S110" s="66"/>
      <c r="T110" s="66"/>
      <c r="U110" s="66"/>
      <c r="V110" s="66"/>
      <c r="W110" s="66"/>
      <c r="X110" s="66"/>
      <c r="Y110" s="67"/>
    </row>
    <row r="111" spans="3:37" s="38" customFormat="1" ht="12.75" customHeight="1" thickBot="1" x14ac:dyDescent="0.3">
      <c r="C111" s="40"/>
      <c r="D111" s="65"/>
      <c r="E111" s="66"/>
      <c r="F111" s="66"/>
      <c r="G111" s="66"/>
      <c r="H111" s="66"/>
      <c r="I111" s="66"/>
      <c r="J111" s="66"/>
      <c r="K111" s="144"/>
      <c r="L111" s="145"/>
      <c r="M111" s="145"/>
      <c r="N111" s="145"/>
      <c r="O111" s="145"/>
      <c r="P111" s="145"/>
      <c r="Q111" s="145"/>
      <c r="R111" s="146"/>
      <c r="S111" s="66"/>
      <c r="T111" s="66"/>
      <c r="U111" s="66"/>
      <c r="V111" s="66"/>
      <c r="W111" s="66"/>
      <c r="X111" s="66"/>
      <c r="Y111" s="67"/>
    </row>
    <row r="112" spans="3:37" s="38" customFormat="1" x14ac:dyDescent="0.25">
      <c r="C112" s="40"/>
      <c r="D112" s="147" t="s">
        <v>36</v>
      </c>
      <c r="E112" s="147" t="str">
        <f>IF(OR(F49="",H49=""),"1º GRUPO I",E10)</f>
        <v>Engenheirense</v>
      </c>
      <c r="F112" s="149"/>
      <c r="G112" s="149"/>
      <c r="H112" s="149"/>
      <c r="I112" s="149"/>
      <c r="J112" s="149"/>
      <c r="K112" s="149"/>
      <c r="L112" s="150"/>
      <c r="M112" s="95">
        <v>24.91</v>
      </c>
      <c r="N112" s="68" t="s">
        <v>32</v>
      </c>
      <c r="O112" s="97">
        <v>25.61</v>
      </c>
      <c r="P112" s="147" t="str">
        <f>IF(OR(F93="",H93=""),"2º GRUPO II",E55)</f>
        <v>BRF Igor Costa</v>
      </c>
      <c r="Q112" s="149"/>
      <c r="R112" s="149"/>
      <c r="S112" s="149"/>
      <c r="T112" s="149"/>
      <c r="U112" s="149"/>
      <c r="V112" s="149"/>
      <c r="W112" s="149"/>
      <c r="X112" s="149"/>
      <c r="Y112" s="150"/>
    </row>
    <row r="113" spans="3:25" s="38" customFormat="1" ht="15.75" thickBot="1" x14ac:dyDescent="0.3">
      <c r="C113" s="40"/>
      <c r="D113" s="148"/>
      <c r="E113" s="151"/>
      <c r="F113" s="152"/>
      <c r="G113" s="152"/>
      <c r="H113" s="152"/>
      <c r="I113" s="152"/>
      <c r="J113" s="152"/>
      <c r="K113" s="152"/>
      <c r="L113" s="153"/>
      <c r="M113" s="103">
        <v>44.56</v>
      </c>
      <c r="N113" s="69" t="s">
        <v>32</v>
      </c>
      <c r="O113" s="111">
        <v>47.91</v>
      </c>
      <c r="P113" s="151"/>
      <c r="Q113" s="152"/>
      <c r="R113" s="152"/>
      <c r="S113" s="152"/>
      <c r="T113" s="152"/>
      <c r="U113" s="152"/>
      <c r="V113" s="152"/>
      <c r="W113" s="152"/>
      <c r="X113" s="152"/>
      <c r="Y113" s="153"/>
    </row>
    <row r="114" spans="3:25" s="38" customFormat="1" ht="15.75" customHeight="1" thickBot="1" x14ac:dyDescent="0.3">
      <c r="C114" s="40"/>
      <c r="D114" s="70"/>
      <c r="E114" s="71"/>
      <c r="F114" s="72"/>
      <c r="G114" s="72"/>
      <c r="H114" s="72"/>
      <c r="I114" s="72"/>
      <c r="J114" s="72"/>
      <c r="K114" s="72"/>
      <c r="L114" s="73"/>
      <c r="M114" s="104">
        <f>IF(OR(M113="",O112=""),"",SUM(M112:M113))</f>
        <v>69.47</v>
      </c>
      <c r="N114" s="74"/>
      <c r="O114" s="112">
        <f>IF(OR(M113="",O112=""),"",SUM(O112:O113))</f>
        <v>73.52</v>
      </c>
      <c r="P114" s="154"/>
      <c r="Q114" s="155"/>
      <c r="R114" s="155"/>
      <c r="S114" s="155"/>
      <c r="T114" s="155"/>
      <c r="U114" s="155"/>
      <c r="V114" s="155"/>
      <c r="W114" s="155"/>
      <c r="X114" s="155"/>
      <c r="Y114" s="156"/>
    </row>
    <row r="115" spans="3:25" s="38" customFormat="1" x14ac:dyDescent="0.25">
      <c r="C115" s="40"/>
      <c r="D115" s="148" t="s">
        <v>38</v>
      </c>
      <c r="E115" s="147" t="str">
        <f>IF(OR(F93="",H93=""),"1º GRUPO II",E54)</f>
        <v>Tribe of Gypses</v>
      </c>
      <c r="F115" s="149"/>
      <c r="G115" s="149"/>
      <c r="H115" s="149"/>
      <c r="I115" s="149"/>
      <c r="J115" s="149"/>
      <c r="K115" s="149"/>
      <c r="L115" s="150"/>
      <c r="M115" s="95">
        <v>47.41</v>
      </c>
      <c r="N115" s="75" t="s">
        <v>32</v>
      </c>
      <c r="O115" s="97">
        <v>53.01</v>
      </c>
      <c r="P115" s="147" t="str">
        <f>IF(OR(F49="",H49=""),"2º GRUPO I",E11)</f>
        <v>Botafogo Rocha</v>
      </c>
      <c r="Q115" s="149"/>
      <c r="R115" s="149"/>
      <c r="S115" s="149"/>
      <c r="T115" s="149"/>
      <c r="U115" s="149"/>
      <c r="V115" s="149"/>
      <c r="W115" s="149"/>
      <c r="X115" s="149"/>
      <c r="Y115" s="150"/>
    </row>
    <row r="116" spans="3:25" s="38" customFormat="1" ht="15.75" thickBot="1" x14ac:dyDescent="0.3">
      <c r="C116" s="40"/>
      <c r="D116" s="148"/>
      <c r="E116" s="151"/>
      <c r="F116" s="152"/>
      <c r="G116" s="152"/>
      <c r="H116" s="152"/>
      <c r="I116" s="152"/>
      <c r="J116" s="152"/>
      <c r="K116" s="152"/>
      <c r="L116" s="153"/>
      <c r="M116" s="105">
        <v>2.29</v>
      </c>
      <c r="N116" s="76" t="s">
        <v>32</v>
      </c>
      <c r="O116" s="113">
        <v>46.46</v>
      </c>
      <c r="P116" s="151"/>
      <c r="Q116" s="152"/>
      <c r="R116" s="152"/>
      <c r="S116" s="152"/>
      <c r="T116" s="152"/>
      <c r="U116" s="152"/>
      <c r="V116" s="152"/>
      <c r="W116" s="152"/>
      <c r="X116" s="152"/>
      <c r="Y116" s="153"/>
    </row>
    <row r="117" spans="3:25" s="38" customFormat="1" ht="15.75" thickBot="1" x14ac:dyDescent="0.3">
      <c r="C117" s="40"/>
      <c r="D117" s="77"/>
      <c r="E117" s="77"/>
      <c r="F117" s="78"/>
      <c r="G117" s="78"/>
      <c r="H117" s="78"/>
      <c r="I117" s="78"/>
      <c r="J117" s="78"/>
      <c r="K117" s="78"/>
      <c r="L117" s="79"/>
      <c r="M117" s="106">
        <f>IF(OR(M116="",O115=""),"",SUM(M115:M116))</f>
        <v>49.699999999999996</v>
      </c>
      <c r="N117" s="80"/>
      <c r="O117" s="114">
        <f>IF(OR(M116="",O115=""),"",SUM(O115:O116))</f>
        <v>99.47</v>
      </c>
      <c r="P117" s="157"/>
      <c r="Q117" s="158"/>
      <c r="R117" s="158"/>
      <c r="S117" s="158"/>
      <c r="T117" s="158"/>
      <c r="U117" s="158"/>
      <c r="V117" s="158"/>
      <c r="W117" s="158"/>
      <c r="X117" s="158"/>
      <c r="Y117" s="159"/>
    </row>
    <row r="118" spans="3:25" s="38" customFormat="1" ht="15.75" thickBot="1" x14ac:dyDescent="0.3">
      <c r="C118" s="40"/>
      <c r="D118" s="81"/>
      <c r="E118" s="81"/>
      <c r="F118" s="81"/>
      <c r="G118" s="81"/>
      <c r="H118" s="81"/>
      <c r="I118" s="81"/>
      <c r="J118" s="81"/>
      <c r="K118" s="81"/>
      <c r="L118" s="81"/>
      <c r="M118" s="82"/>
      <c r="N118" s="82"/>
      <c r="O118" s="82"/>
      <c r="P118" s="83"/>
      <c r="Q118" s="83"/>
      <c r="R118" s="83"/>
      <c r="S118" s="83"/>
      <c r="T118" s="83"/>
      <c r="U118" s="83"/>
      <c r="V118" s="83"/>
      <c r="W118" s="83"/>
      <c r="X118" s="83"/>
      <c r="Y118" s="83"/>
    </row>
    <row r="119" spans="3:25" s="38" customFormat="1" x14ac:dyDescent="0.25">
      <c r="C119" s="40"/>
      <c r="D119" s="119" t="s">
        <v>57</v>
      </c>
      <c r="E119" s="120"/>
      <c r="F119" s="120"/>
      <c r="G119" s="120"/>
      <c r="H119" s="120"/>
      <c r="I119" s="120"/>
      <c r="J119" s="120"/>
      <c r="K119" s="120"/>
      <c r="L119" s="120"/>
      <c r="M119" s="120"/>
      <c r="N119" s="120"/>
      <c r="O119" s="120"/>
      <c r="P119" s="120"/>
      <c r="Q119" s="120"/>
      <c r="R119" s="120"/>
      <c r="S119" s="120"/>
      <c r="T119" s="120"/>
      <c r="U119" s="120"/>
      <c r="V119" s="120"/>
      <c r="W119" s="120"/>
      <c r="X119" s="120"/>
      <c r="Y119" s="121"/>
    </row>
    <row r="120" spans="3:25" s="38" customFormat="1" x14ac:dyDescent="0.25">
      <c r="C120" s="40"/>
      <c r="D120" s="122"/>
      <c r="E120" s="123"/>
      <c r="F120" s="123"/>
      <c r="G120" s="123"/>
      <c r="H120" s="123"/>
      <c r="I120" s="123"/>
      <c r="J120" s="123"/>
      <c r="K120" s="123"/>
      <c r="L120" s="123"/>
      <c r="M120" s="123"/>
      <c r="N120" s="123"/>
      <c r="O120" s="123"/>
      <c r="P120" s="123"/>
      <c r="Q120" s="123"/>
      <c r="R120" s="123"/>
      <c r="S120" s="123"/>
      <c r="T120" s="123"/>
      <c r="U120" s="123"/>
      <c r="V120" s="123"/>
      <c r="W120" s="123"/>
      <c r="X120" s="123"/>
      <c r="Y120" s="124"/>
    </row>
    <row r="121" spans="3:25" s="38" customFormat="1" ht="15.75" thickBot="1" x14ac:dyDescent="0.3">
      <c r="C121" s="40"/>
      <c r="D121" s="125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  <c r="Q121" s="126"/>
      <c r="R121" s="126"/>
      <c r="S121" s="126"/>
      <c r="T121" s="126"/>
      <c r="U121" s="126"/>
      <c r="V121" s="126"/>
      <c r="W121" s="126"/>
      <c r="X121" s="126"/>
      <c r="Y121" s="127"/>
    </row>
    <row r="122" spans="3:25" s="38" customFormat="1" ht="16.5" customHeight="1" x14ac:dyDescent="0.25">
      <c r="D122" s="65"/>
      <c r="E122" s="66"/>
      <c r="F122" s="66"/>
      <c r="G122" s="66"/>
      <c r="H122" s="66"/>
      <c r="I122" s="66"/>
      <c r="J122" s="66"/>
      <c r="K122" s="141" t="s">
        <v>35</v>
      </c>
      <c r="L122" s="142"/>
      <c r="M122" s="142"/>
      <c r="N122" s="142"/>
      <c r="O122" s="142"/>
      <c r="P122" s="142"/>
      <c r="Q122" s="142"/>
      <c r="R122" s="143"/>
      <c r="S122" s="66"/>
      <c r="T122" s="66"/>
      <c r="U122" s="66"/>
      <c r="V122" s="66"/>
      <c r="W122" s="66"/>
      <c r="X122" s="66"/>
      <c r="Y122" s="67"/>
    </row>
    <row r="123" spans="3:25" s="38" customFormat="1" ht="17.25" customHeight="1" thickBot="1" x14ac:dyDescent="0.3">
      <c r="D123" s="65"/>
      <c r="E123" s="66"/>
      <c r="F123" s="66"/>
      <c r="G123" s="66"/>
      <c r="H123" s="66"/>
      <c r="I123" s="66"/>
      <c r="J123" s="66"/>
      <c r="K123" s="144"/>
      <c r="L123" s="145"/>
      <c r="M123" s="145"/>
      <c r="N123" s="145"/>
      <c r="O123" s="145"/>
      <c r="P123" s="145"/>
      <c r="Q123" s="145"/>
      <c r="R123" s="146"/>
      <c r="S123" s="66"/>
      <c r="T123" s="66"/>
      <c r="U123" s="66"/>
      <c r="V123" s="66"/>
      <c r="W123" s="66"/>
      <c r="X123" s="66"/>
      <c r="Y123" s="67"/>
    </row>
    <row r="124" spans="3:25" s="38" customFormat="1" x14ac:dyDescent="0.25">
      <c r="D124" s="160" t="s">
        <v>58</v>
      </c>
      <c r="E124" s="147" t="str">
        <f>IF(OR(M102="",O102=""),"PERDEDOR J1",IF(M102&lt;O102,E100,P100))</f>
        <v>F.C. Bugrao</v>
      </c>
      <c r="F124" s="149"/>
      <c r="G124" s="149"/>
      <c r="H124" s="149"/>
      <c r="I124" s="149"/>
      <c r="J124" s="149"/>
      <c r="K124" s="149"/>
      <c r="L124" s="150"/>
      <c r="M124" s="118">
        <v>40.340000000000003</v>
      </c>
      <c r="N124" s="84" t="s">
        <v>32</v>
      </c>
      <c r="O124" s="115">
        <v>33.159999999999997</v>
      </c>
      <c r="P124" s="147" t="str">
        <f>IF(OR(M105="",O105=""),"PERDEDOR J2",IF(M105&lt;O105,E103,P103))</f>
        <v>Stars United</v>
      </c>
      <c r="Q124" s="149"/>
      <c r="R124" s="149"/>
      <c r="S124" s="149"/>
      <c r="T124" s="149"/>
      <c r="U124" s="149"/>
      <c r="V124" s="149"/>
      <c r="W124" s="149"/>
      <c r="X124" s="149"/>
      <c r="Y124" s="150"/>
    </row>
    <row r="125" spans="3:25" s="38" customFormat="1" ht="15.75" thickBot="1" x14ac:dyDescent="0.3">
      <c r="D125" s="161"/>
      <c r="E125" s="151"/>
      <c r="F125" s="152"/>
      <c r="G125" s="152"/>
      <c r="H125" s="152"/>
      <c r="I125" s="152"/>
      <c r="J125" s="152"/>
      <c r="K125" s="152"/>
      <c r="L125" s="153"/>
      <c r="M125" s="188">
        <v>67.33</v>
      </c>
      <c r="N125" s="85" t="s">
        <v>32</v>
      </c>
      <c r="O125" s="189">
        <v>24.05</v>
      </c>
      <c r="P125" s="151"/>
      <c r="Q125" s="152"/>
      <c r="R125" s="152"/>
      <c r="S125" s="152"/>
      <c r="T125" s="152"/>
      <c r="U125" s="152"/>
      <c r="V125" s="152"/>
      <c r="W125" s="152"/>
      <c r="X125" s="152"/>
      <c r="Y125" s="153"/>
    </row>
    <row r="126" spans="3:25" s="38" customFormat="1" ht="15.75" thickBot="1" x14ac:dyDescent="0.3">
      <c r="D126" s="77"/>
      <c r="E126" s="77"/>
      <c r="F126" s="78"/>
      <c r="G126" s="78"/>
      <c r="H126" s="78"/>
      <c r="I126" s="78"/>
      <c r="J126" s="78"/>
      <c r="K126" s="78"/>
      <c r="L126" s="78"/>
      <c r="M126" s="187">
        <f>IF(OR(M125="",O124=""),"",SUM(M124:M125))</f>
        <v>107.67</v>
      </c>
      <c r="N126" s="86"/>
      <c r="O126" s="190">
        <f>IF(OR(M125="",O124=""),"",SUM(O124:O125))</f>
        <v>57.209999999999994</v>
      </c>
      <c r="P126" s="162"/>
      <c r="Q126" s="163"/>
      <c r="R126" s="163"/>
      <c r="S126" s="163"/>
      <c r="T126" s="163"/>
      <c r="U126" s="163"/>
      <c r="V126" s="163"/>
      <c r="W126" s="163"/>
      <c r="X126" s="163"/>
      <c r="Y126" s="164"/>
    </row>
    <row r="127" spans="3:25" s="38" customFormat="1" ht="15.75" thickBot="1" x14ac:dyDescent="0.3">
      <c r="D127" s="81"/>
      <c r="E127" s="81"/>
      <c r="F127" s="81"/>
      <c r="G127" s="81"/>
      <c r="H127" s="81"/>
      <c r="I127" s="81"/>
      <c r="J127" s="81"/>
      <c r="K127" s="81"/>
      <c r="L127" s="81"/>
      <c r="M127" s="82"/>
      <c r="N127" s="82"/>
      <c r="O127" s="82"/>
      <c r="P127" s="83"/>
      <c r="Q127" s="83"/>
      <c r="R127" s="83"/>
      <c r="S127" s="83"/>
      <c r="T127" s="83"/>
      <c r="U127" s="83"/>
      <c r="V127" s="83"/>
      <c r="W127" s="83"/>
      <c r="X127" s="83"/>
      <c r="Y127" s="83"/>
    </row>
    <row r="128" spans="3:25" s="38" customFormat="1" x14ac:dyDescent="0.25">
      <c r="D128" s="119" t="s">
        <v>56</v>
      </c>
      <c r="E128" s="120"/>
      <c r="F128" s="120"/>
      <c r="G128" s="120"/>
      <c r="H128" s="120"/>
      <c r="I128" s="120"/>
      <c r="J128" s="120"/>
      <c r="K128" s="120"/>
      <c r="L128" s="120"/>
      <c r="M128" s="120"/>
      <c r="N128" s="120"/>
      <c r="O128" s="120"/>
      <c r="P128" s="120"/>
      <c r="Q128" s="120"/>
      <c r="R128" s="120"/>
      <c r="S128" s="120"/>
      <c r="T128" s="120"/>
      <c r="U128" s="120"/>
      <c r="V128" s="120"/>
      <c r="W128" s="120"/>
      <c r="X128" s="120"/>
      <c r="Y128" s="121"/>
    </row>
    <row r="129" spans="4:25" s="38" customFormat="1" x14ac:dyDescent="0.25">
      <c r="D129" s="122"/>
      <c r="E129" s="123"/>
      <c r="F129" s="123"/>
      <c r="G129" s="123"/>
      <c r="H129" s="123"/>
      <c r="I129" s="123"/>
      <c r="J129" s="123"/>
      <c r="K129" s="123"/>
      <c r="L129" s="123"/>
      <c r="M129" s="123"/>
      <c r="N129" s="123"/>
      <c r="O129" s="123"/>
      <c r="P129" s="123"/>
      <c r="Q129" s="123"/>
      <c r="R129" s="123"/>
      <c r="S129" s="123"/>
      <c r="T129" s="123"/>
      <c r="U129" s="123"/>
      <c r="V129" s="123"/>
      <c r="W129" s="123"/>
      <c r="X129" s="123"/>
      <c r="Y129" s="124"/>
    </row>
    <row r="130" spans="4:25" s="38" customFormat="1" ht="15.75" thickBot="1" x14ac:dyDescent="0.3">
      <c r="D130" s="125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  <c r="Q130" s="126"/>
      <c r="R130" s="126"/>
      <c r="S130" s="126"/>
      <c r="T130" s="126"/>
      <c r="U130" s="126"/>
      <c r="V130" s="126"/>
      <c r="W130" s="126"/>
      <c r="X130" s="126"/>
      <c r="Y130" s="127"/>
    </row>
    <row r="131" spans="4:25" s="38" customFormat="1" ht="18" customHeight="1" x14ac:dyDescent="0.25">
      <c r="D131" s="65"/>
      <c r="E131" s="66"/>
      <c r="F131" s="66"/>
      <c r="G131" s="66"/>
      <c r="H131" s="66"/>
      <c r="I131" s="66"/>
      <c r="J131" s="66"/>
      <c r="K131" s="141" t="s">
        <v>35</v>
      </c>
      <c r="L131" s="142"/>
      <c r="M131" s="142"/>
      <c r="N131" s="142"/>
      <c r="O131" s="142"/>
      <c r="P131" s="142"/>
      <c r="Q131" s="142"/>
      <c r="R131" s="143"/>
      <c r="S131" s="66"/>
      <c r="T131" s="66"/>
      <c r="U131" s="66"/>
      <c r="V131" s="66"/>
      <c r="W131" s="66"/>
      <c r="X131" s="66"/>
      <c r="Y131" s="67"/>
    </row>
    <row r="132" spans="4:25" s="38" customFormat="1" ht="17.25" customHeight="1" thickBot="1" x14ac:dyDescent="0.3">
      <c r="D132" s="65"/>
      <c r="E132" s="66"/>
      <c r="F132" s="66"/>
      <c r="G132" s="66"/>
      <c r="H132" s="66"/>
      <c r="I132" s="66"/>
      <c r="J132" s="66"/>
      <c r="K132" s="144"/>
      <c r="L132" s="145"/>
      <c r="M132" s="145"/>
      <c r="N132" s="145"/>
      <c r="O132" s="145"/>
      <c r="P132" s="145"/>
      <c r="Q132" s="145"/>
      <c r="R132" s="146"/>
      <c r="S132" s="66"/>
      <c r="T132" s="66"/>
      <c r="U132" s="66"/>
      <c r="V132" s="66"/>
      <c r="W132" s="66"/>
      <c r="X132" s="66"/>
      <c r="Y132" s="67"/>
    </row>
    <row r="133" spans="4:25" s="38" customFormat="1" x14ac:dyDescent="0.25">
      <c r="D133" s="160" t="s">
        <v>59</v>
      </c>
      <c r="E133" s="147" t="str">
        <f>IF(OR(M102="",O102=""),"VENCEDOR J1",IF(M102&gt;O102,E100,P100))</f>
        <v>.In$a.nyo$.Br</v>
      </c>
      <c r="F133" s="149"/>
      <c r="G133" s="149"/>
      <c r="H133" s="149"/>
      <c r="I133" s="149"/>
      <c r="J133" s="149"/>
      <c r="K133" s="149"/>
      <c r="L133" s="150"/>
      <c r="M133" s="118">
        <v>29.03</v>
      </c>
      <c r="N133" s="84" t="s">
        <v>32</v>
      </c>
      <c r="O133" s="116">
        <v>17.100000000000001</v>
      </c>
      <c r="P133" s="147" t="str">
        <f>IF(OR(M105="",O105=""),"VENCEDOR J2",IF(M105&gt;O105,E103,P103))</f>
        <v>US Karas</v>
      </c>
      <c r="Q133" s="149"/>
      <c r="R133" s="149"/>
      <c r="S133" s="149"/>
      <c r="T133" s="149"/>
      <c r="U133" s="149"/>
      <c r="V133" s="149"/>
      <c r="W133" s="149"/>
      <c r="X133" s="149"/>
      <c r="Y133" s="150"/>
    </row>
    <row r="134" spans="4:25" s="38" customFormat="1" ht="15.75" thickBot="1" x14ac:dyDescent="0.3">
      <c r="D134" s="161"/>
      <c r="E134" s="151"/>
      <c r="F134" s="152"/>
      <c r="G134" s="152"/>
      <c r="H134" s="152"/>
      <c r="I134" s="152"/>
      <c r="J134" s="152"/>
      <c r="K134" s="152"/>
      <c r="L134" s="153"/>
      <c r="M134" s="188">
        <v>73.13</v>
      </c>
      <c r="N134" s="85" t="s">
        <v>32</v>
      </c>
      <c r="O134" s="189">
        <v>63.73</v>
      </c>
      <c r="P134" s="151"/>
      <c r="Q134" s="152"/>
      <c r="R134" s="152"/>
      <c r="S134" s="152"/>
      <c r="T134" s="152"/>
      <c r="U134" s="152"/>
      <c r="V134" s="152"/>
      <c r="W134" s="152"/>
      <c r="X134" s="152"/>
      <c r="Y134" s="153"/>
    </row>
    <row r="135" spans="4:25" s="38" customFormat="1" ht="15.75" thickBot="1" x14ac:dyDescent="0.3">
      <c r="D135" s="77"/>
      <c r="E135" s="77"/>
      <c r="F135" s="78"/>
      <c r="G135" s="78"/>
      <c r="H135" s="78"/>
      <c r="I135" s="78"/>
      <c r="J135" s="78"/>
      <c r="K135" s="78"/>
      <c r="L135" s="78"/>
      <c r="M135" s="187">
        <f>IF(OR(M134="",O133=""),"",SUM(M133:M134))</f>
        <v>102.16</v>
      </c>
      <c r="N135" s="86"/>
      <c r="O135" s="190">
        <f>IF(OR(M133="",O134=""),"",SUM(O133:O134))</f>
        <v>80.83</v>
      </c>
      <c r="P135" s="162"/>
      <c r="Q135" s="163"/>
      <c r="R135" s="163"/>
      <c r="S135" s="163"/>
      <c r="T135" s="163"/>
      <c r="U135" s="163"/>
      <c r="V135" s="163"/>
      <c r="W135" s="163"/>
      <c r="X135" s="163"/>
      <c r="Y135" s="164"/>
    </row>
    <row r="136" spans="4:25" s="38" customFormat="1" ht="15.75" thickBot="1" x14ac:dyDescent="0.3">
      <c r="D136" s="81"/>
      <c r="E136" s="81"/>
      <c r="F136" s="81"/>
      <c r="G136" s="81"/>
      <c r="H136" s="81"/>
      <c r="I136" s="81"/>
      <c r="J136" s="81"/>
      <c r="K136" s="81"/>
      <c r="L136" s="81"/>
      <c r="M136" s="82"/>
      <c r="N136" s="82"/>
      <c r="O136" s="82"/>
      <c r="P136" s="83"/>
      <c r="Q136" s="83"/>
      <c r="R136" s="83"/>
      <c r="S136" s="83"/>
      <c r="T136" s="83"/>
      <c r="U136" s="83"/>
      <c r="V136" s="83"/>
      <c r="W136" s="83"/>
      <c r="X136" s="83"/>
      <c r="Y136" s="83"/>
    </row>
    <row r="137" spans="4:25" s="38" customFormat="1" x14ac:dyDescent="0.25">
      <c r="D137" s="119" t="s">
        <v>34</v>
      </c>
      <c r="E137" s="120"/>
      <c r="F137" s="120"/>
      <c r="G137" s="120"/>
      <c r="H137" s="120"/>
      <c r="I137" s="120"/>
      <c r="J137" s="120"/>
      <c r="K137" s="120"/>
      <c r="L137" s="120"/>
      <c r="M137" s="120"/>
      <c r="N137" s="120"/>
      <c r="O137" s="120"/>
      <c r="P137" s="120"/>
      <c r="Q137" s="120"/>
      <c r="R137" s="120"/>
      <c r="S137" s="120"/>
      <c r="T137" s="120"/>
      <c r="U137" s="120"/>
      <c r="V137" s="120"/>
      <c r="W137" s="120"/>
      <c r="X137" s="120"/>
      <c r="Y137" s="121"/>
    </row>
    <row r="138" spans="4:25" s="38" customFormat="1" x14ac:dyDescent="0.25">
      <c r="D138" s="122"/>
      <c r="E138" s="123"/>
      <c r="F138" s="123"/>
      <c r="G138" s="123"/>
      <c r="H138" s="123"/>
      <c r="I138" s="123"/>
      <c r="J138" s="123"/>
      <c r="K138" s="123"/>
      <c r="L138" s="123"/>
      <c r="M138" s="123"/>
      <c r="N138" s="123"/>
      <c r="O138" s="123"/>
      <c r="P138" s="123"/>
      <c r="Q138" s="123"/>
      <c r="R138" s="123"/>
      <c r="S138" s="123"/>
      <c r="T138" s="123"/>
      <c r="U138" s="123"/>
      <c r="V138" s="123"/>
      <c r="W138" s="123"/>
      <c r="X138" s="123"/>
      <c r="Y138" s="124"/>
    </row>
    <row r="139" spans="4:25" s="38" customFormat="1" ht="15.75" thickBot="1" x14ac:dyDescent="0.3">
      <c r="D139" s="125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  <c r="Q139" s="126"/>
      <c r="R139" s="126"/>
      <c r="S139" s="126"/>
      <c r="T139" s="126"/>
      <c r="U139" s="126"/>
      <c r="V139" s="126"/>
      <c r="W139" s="126"/>
      <c r="X139" s="126"/>
      <c r="Y139" s="127"/>
    </row>
    <row r="140" spans="4:25" s="38" customFormat="1" ht="18" customHeight="1" x14ac:dyDescent="0.25">
      <c r="D140" s="65"/>
      <c r="E140" s="66"/>
      <c r="F140" s="66"/>
      <c r="G140" s="66"/>
      <c r="H140" s="66"/>
      <c r="I140" s="66"/>
      <c r="J140" s="66"/>
      <c r="K140" s="141" t="s">
        <v>35</v>
      </c>
      <c r="L140" s="142"/>
      <c r="M140" s="142"/>
      <c r="N140" s="142"/>
      <c r="O140" s="142"/>
      <c r="P140" s="142"/>
      <c r="Q140" s="142"/>
      <c r="R140" s="143"/>
      <c r="S140" s="66"/>
      <c r="T140" s="66"/>
      <c r="U140" s="66"/>
      <c r="V140" s="66"/>
      <c r="W140" s="66"/>
      <c r="X140" s="66"/>
      <c r="Y140" s="67"/>
    </row>
    <row r="141" spans="4:25" s="38" customFormat="1" ht="17.25" customHeight="1" thickBot="1" x14ac:dyDescent="0.3">
      <c r="D141" s="65"/>
      <c r="E141" s="66"/>
      <c r="F141" s="66"/>
      <c r="G141" s="66"/>
      <c r="H141" s="66"/>
      <c r="I141" s="66"/>
      <c r="J141" s="66"/>
      <c r="K141" s="144"/>
      <c r="L141" s="145"/>
      <c r="M141" s="145"/>
      <c r="N141" s="145"/>
      <c r="O141" s="145"/>
      <c r="P141" s="145"/>
      <c r="Q141" s="145"/>
      <c r="R141" s="146"/>
      <c r="S141" s="66"/>
      <c r="T141" s="66"/>
      <c r="U141" s="66"/>
      <c r="V141" s="66"/>
      <c r="W141" s="66"/>
      <c r="X141" s="66"/>
      <c r="Y141" s="67"/>
    </row>
    <row r="142" spans="4:25" s="38" customFormat="1" x14ac:dyDescent="0.25">
      <c r="D142" s="160" t="s">
        <v>60</v>
      </c>
      <c r="E142" s="147" t="str">
        <f>IF(OR(M114="",O114=""),"PERDEDOR J3",IF(M114&lt;O114,E112,P112))</f>
        <v>Engenheirense</v>
      </c>
      <c r="F142" s="149"/>
      <c r="G142" s="149"/>
      <c r="H142" s="149"/>
      <c r="I142" s="149"/>
      <c r="J142" s="149"/>
      <c r="K142" s="149"/>
      <c r="L142" s="150"/>
      <c r="M142" s="117">
        <v>40</v>
      </c>
      <c r="N142" s="75" t="s">
        <v>32</v>
      </c>
      <c r="O142" s="116">
        <v>33</v>
      </c>
      <c r="P142" s="147" t="str">
        <f>IF(OR(M117="",O117=""),"PERDEDOR J4",IF(M117&lt;O117,E115,P115))</f>
        <v>Tribe of Gypses</v>
      </c>
      <c r="Q142" s="149"/>
      <c r="R142" s="149"/>
      <c r="S142" s="149"/>
      <c r="T142" s="149"/>
      <c r="U142" s="149"/>
      <c r="V142" s="149"/>
      <c r="W142" s="149"/>
      <c r="X142" s="149"/>
      <c r="Y142" s="150"/>
    </row>
    <row r="143" spans="4:25" s="38" customFormat="1" ht="15.75" thickBot="1" x14ac:dyDescent="0.3">
      <c r="D143" s="161"/>
      <c r="E143" s="151"/>
      <c r="F143" s="152"/>
      <c r="G143" s="152"/>
      <c r="H143" s="152"/>
      <c r="I143" s="152"/>
      <c r="J143" s="152"/>
      <c r="K143" s="152"/>
      <c r="L143" s="153"/>
      <c r="M143" s="186">
        <v>69.930000000000007</v>
      </c>
      <c r="N143" s="76" t="s">
        <v>32</v>
      </c>
      <c r="O143" s="191">
        <v>20</v>
      </c>
      <c r="P143" s="151"/>
      <c r="Q143" s="152"/>
      <c r="R143" s="152"/>
      <c r="S143" s="152"/>
      <c r="T143" s="152"/>
      <c r="U143" s="152"/>
      <c r="V143" s="152"/>
      <c r="W143" s="152"/>
      <c r="X143" s="152"/>
      <c r="Y143" s="153"/>
    </row>
    <row r="144" spans="4:25" s="38" customFormat="1" ht="15.75" thickBot="1" x14ac:dyDescent="0.3">
      <c r="D144" s="77"/>
      <c r="E144" s="77"/>
      <c r="F144" s="78"/>
      <c r="G144" s="78"/>
      <c r="H144" s="78"/>
      <c r="I144" s="78"/>
      <c r="J144" s="78"/>
      <c r="K144" s="78"/>
      <c r="L144" s="78"/>
      <c r="M144" s="187">
        <f>IF(OR(M143="",O142=""),"",SUM(M142:M143))</f>
        <v>109.93</v>
      </c>
      <c r="N144" s="86"/>
      <c r="O144" s="192">
        <f>IF(OR(M142="",O143=""),"",SUM(O142:O143))</f>
        <v>53</v>
      </c>
      <c r="P144" s="162"/>
      <c r="Q144" s="163"/>
      <c r="R144" s="163"/>
      <c r="S144" s="163"/>
      <c r="T144" s="163"/>
      <c r="U144" s="163"/>
      <c r="V144" s="163"/>
      <c r="W144" s="163"/>
      <c r="X144" s="163"/>
      <c r="Y144" s="164"/>
    </row>
    <row r="145" spans="4:25" s="38" customFormat="1" ht="15.75" thickBot="1" x14ac:dyDescent="0.3"/>
    <row r="146" spans="4:25" s="38" customFormat="1" x14ac:dyDescent="0.25">
      <c r="D146" s="119" t="s">
        <v>37</v>
      </c>
      <c r="E146" s="120"/>
      <c r="F146" s="120"/>
      <c r="G146" s="120"/>
      <c r="H146" s="120"/>
      <c r="I146" s="120"/>
      <c r="J146" s="120"/>
      <c r="K146" s="120"/>
      <c r="L146" s="120"/>
      <c r="M146" s="120"/>
      <c r="N146" s="120"/>
      <c r="O146" s="120"/>
      <c r="P146" s="120"/>
      <c r="Q146" s="120"/>
      <c r="R146" s="120"/>
      <c r="S146" s="120"/>
      <c r="T146" s="120"/>
      <c r="U146" s="120"/>
      <c r="V146" s="120"/>
      <c r="W146" s="120"/>
      <c r="X146" s="120"/>
      <c r="Y146" s="121"/>
    </row>
    <row r="147" spans="4:25" s="38" customFormat="1" x14ac:dyDescent="0.25">
      <c r="D147" s="122"/>
      <c r="E147" s="123"/>
      <c r="F147" s="123"/>
      <c r="G147" s="123"/>
      <c r="H147" s="123"/>
      <c r="I147" s="123"/>
      <c r="J147" s="123"/>
      <c r="K147" s="123"/>
      <c r="L147" s="123"/>
      <c r="M147" s="123"/>
      <c r="N147" s="123"/>
      <c r="O147" s="123"/>
      <c r="P147" s="123"/>
      <c r="Q147" s="123"/>
      <c r="R147" s="123"/>
      <c r="S147" s="123"/>
      <c r="T147" s="123"/>
      <c r="U147" s="123"/>
      <c r="V147" s="123"/>
      <c r="W147" s="123"/>
      <c r="X147" s="123"/>
      <c r="Y147" s="124"/>
    </row>
    <row r="148" spans="4:25" s="38" customFormat="1" ht="15.75" thickBot="1" x14ac:dyDescent="0.3">
      <c r="D148" s="125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  <c r="Q148" s="126"/>
      <c r="R148" s="126"/>
      <c r="S148" s="126"/>
      <c r="T148" s="126"/>
      <c r="U148" s="126"/>
      <c r="V148" s="126"/>
      <c r="W148" s="126"/>
      <c r="X148" s="126"/>
      <c r="Y148" s="127"/>
    </row>
    <row r="149" spans="4:25" s="38" customFormat="1" ht="12.75" customHeight="1" x14ac:dyDescent="0.25">
      <c r="D149" s="87"/>
      <c r="E149" s="88"/>
      <c r="F149" s="88"/>
      <c r="G149" s="88"/>
      <c r="H149" s="88"/>
      <c r="I149" s="88"/>
      <c r="J149" s="89"/>
      <c r="K149" s="142" t="s">
        <v>35</v>
      </c>
      <c r="L149" s="142"/>
      <c r="M149" s="142"/>
      <c r="N149" s="142"/>
      <c r="O149" s="142"/>
      <c r="P149" s="142"/>
      <c r="Q149" s="142"/>
      <c r="R149" s="174"/>
      <c r="S149" s="66"/>
      <c r="T149" s="66"/>
      <c r="U149" s="66"/>
      <c r="V149" s="66"/>
      <c r="W149" s="66"/>
      <c r="X149" s="66"/>
      <c r="Y149" s="67"/>
    </row>
    <row r="150" spans="4:25" s="38" customFormat="1" ht="20.25" customHeight="1" thickBot="1" x14ac:dyDescent="0.3">
      <c r="D150" s="90"/>
      <c r="E150" s="91"/>
      <c r="F150" s="91"/>
      <c r="G150" s="91"/>
      <c r="H150" s="91"/>
      <c r="I150" s="91"/>
      <c r="J150" s="92"/>
      <c r="K150" s="145"/>
      <c r="L150" s="145"/>
      <c r="M150" s="145"/>
      <c r="N150" s="145"/>
      <c r="O150" s="145"/>
      <c r="P150" s="145"/>
      <c r="Q150" s="145"/>
      <c r="R150" s="175"/>
      <c r="S150" s="66"/>
      <c r="T150" s="66"/>
      <c r="U150" s="66"/>
      <c r="V150" s="66"/>
      <c r="W150" s="66"/>
      <c r="X150" s="66"/>
      <c r="Y150" s="67"/>
    </row>
    <row r="151" spans="4:25" s="38" customFormat="1" x14ac:dyDescent="0.25">
      <c r="D151" s="160" t="s">
        <v>61</v>
      </c>
      <c r="E151" s="147" t="str">
        <f>IF(OR(M114="",O114=""),"VENCEDOR J3",IF(M1048&gt;O114,E112,P112))</f>
        <v>BRF Igor Costa</v>
      </c>
      <c r="F151" s="149"/>
      <c r="G151" s="149"/>
      <c r="H151" s="149"/>
      <c r="I151" s="149"/>
      <c r="J151" s="149"/>
      <c r="K151" s="149"/>
      <c r="L151" s="150"/>
      <c r="M151" s="98">
        <v>48.4</v>
      </c>
      <c r="N151" s="75" t="s">
        <v>32</v>
      </c>
      <c r="O151" s="96">
        <v>18.2</v>
      </c>
      <c r="P151" s="147" t="str">
        <f>IF(OR(M117="",O117=""),"VENCEDOR J4",IF(M117&gt;O117,E115,P115))</f>
        <v>Botafogo Rocha</v>
      </c>
      <c r="Q151" s="149"/>
      <c r="R151" s="149"/>
      <c r="S151" s="149"/>
      <c r="T151" s="149"/>
      <c r="U151" s="149"/>
      <c r="V151" s="149"/>
      <c r="W151" s="149"/>
      <c r="X151" s="149"/>
      <c r="Y151" s="150"/>
    </row>
    <row r="152" spans="4:25" s="38" customFormat="1" ht="15.75" thickBot="1" x14ac:dyDescent="0.3">
      <c r="D152" s="161"/>
      <c r="E152" s="151"/>
      <c r="F152" s="152"/>
      <c r="G152" s="152"/>
      <c r="H152" s="152"/>
      <c r="I152" s="152"/>
      <c r="J152" s="152"/>
      <c r="K152" s="152"/>
      <c r="L152" s="153"/>
      <c r="M152" s="109">
        <v>64.14</v>
      </c>
      <c r="N152" s="76" t="s">
        <v>32</v>
      </c>
      <c r="O152" s="101">
        <v>58.13</v>
      </c>
      <c r="P152" s="151"/>
      <c r="Q152" s="152"/>
      <c r="R152" s="152"/>
      <c r="S152" s="152"/>
      <c r="T152" s="152"/>
      <c r="U152" s="152"/>
      <c r="V152" s="152"/>
      <c r="W152" s="152"/>
      <c r="X152" s="152"/>
      <c r="Y152" s="153"/>
    </row>
    <row r="153" spans="4:25" s="38" customFormat="1" ht="15.75" thickBot="1" x14ac:dyDescent="0.3">
      <c r="D153" s="77"/>
      <c r="E153" s="77"/>
      <c r="F153" s="78"/>
      <c r="G153" s="78"/>
      <c r="H153" s="78"/>
      <c r="I153" s="78"/>
      <c r="J153" s="78"/>
      <c r="K153" s="78"/>
      <c r="L153" s="78"/>
      <c r="M153" s="185">
        <f>IF(OR(M152="",O151=""),"",SUM(M151:M152))</f>
        <v>112.53999999999999</v>
      </c>
      <c r="N153" s="93"/>
      <c r="O153" s="192">
        <f>IF(OR(M152="",O151=""),"",SUM(O151:O152))</f>
        <v>76.33</v>
      </c>
      <c r="P153" s="162"/>
      <c r="Q153" s="163"/>
      <c r="R153" s="163"/>
      <c r="S153" s="163"/>
      <c r="T153" s="163"/>
      <c r="U153" s="163"/>
      <c r="V153" s="163"/>
      <c r="W153" s="163"/>
      <c r="X153" s="163"/>
      <c r="Y153" s="164"/>
    </row>
    <row r="154" spans="4:25" s="38" customFormat="1" ht="15.75" thickBot="1" x14ac:dyDescent="0.3"/>
    <row r="155" spans="4:25" s="38" customFormat="1" ht="15" customHeight="1" x14ac:dyDescent="0.25">
      <c r="D155" s="165" t="str">
        <f>IF(OR(M153="",O153=""),"CAMPEÃO",IF(M153&gt;O153,E151,P151))</f>
        <v>BRF Igor Costa</v>
      </c>
      <c r="E155" s="166"/>
      <c r="F155" s="166"/>
      <c r="G155" s="166"/>
      <c r="H155" s="166"/>
      <c r="I155" s="166"/>
      <c r="J155" s="166"/>
      <c r="K155" s="167"/>
      <c r="L155" s="176" t="s">
        <v>70</v>
      </c>
      <c r="M155" s="177"/>
      <c r="N155" s="177"/>
      <c r="O155" s="177"/>
      <c r="P155" s="177"/>
      <c r="Q155" s="177"/>
      <c r="R155" s="177"/>
      <c r="S155" s="177"/>
      <c r="T155" s="177"/>
      <c r="U155" s="177"/>
      <c r="V155" s="177"/>
      <c r="W155" s="177"/>
      <c r="X155" s="177"/>
      <c r="Y155" s="178"/>
    </row>
    <row r="156" spans="4:25" s="38" customFormat="1" ht="15" customHeight="1" x14ac:dyDescent="0.25">
      <c r="D156" s="168"/>
      <c r="E156" s="169"/>
      <c r="F156" s="169"/>
      <c r="G156" s="169"/>
      <c r="H156" s="169"/>
      <c r="I156" s="169"/>
      <c r="J156" s="169"/>
      <c r="K156" s="170"/>
      <c r="L156" s="179"/>
      <c r="M156" s="180"/>
      <c r="N156" s="180"/>
      <c r="O156" s="180"/>
      <c r="P156" s="180"/>
      <c r="Q156" s="180"/>
      <c r="R156" s="180"/>
      <c r="S156" s="180"/>
      <c r="T156" s="180"/>
      <c r="U156" s="180"/>
      <c r="V156" s="180"/>
      <c r="W156" s="180"/>
      <c r="X156" s="180"/>
      <c r="Y156" s="181"/>
    </row>
    <row r="157" spans="4:25" s="38" customFormat="1" ht="15" customHeight="1" x14ac:dyDescent="0.25">
      <c r="D157" s="168"/>
      <c r="E157" s="169"/>
      <c r="F157" s="169"/>
      <c r="G157" s="169"/>
      <c r="H157" s="169"/>
      <c r="I157" s="169"/>
      <c r="J157" s="169"/>
      <c r="K157" s="170"/>
      <c r="L157" s="179"/>
      <c r="M157" s="180"/>
      <c r="N157" s="180"/>
      <c r="O157" s="180"/>
      <c r="P157" s="180"/>
      <c r="Q157" s="180"/>
      <c r="R157" s="180"/>
      <c r="S157" s="180"/>
      <c r="T157" s="180"/>
      <c r="U157" s="180"/>
      <c r="V157" s="180"/>
      <c r="W157" s="180"/>
      <c r="X157" s="180"/>
      <c r="Y157" s="181"/>
    </row>
    <row r="158" spans="4:25" s="38" customFormat="1" ht="15" customHeight="1" x14ac:dyDescent="0.25">
      <c r="D158" s="168"/>
      <c r="E158" s="169"/>
      <c r="F158" s="169"/>
      <c r="G158" s="169"/>
      <c r="H158" s="169"/>
      <c r="I158" s="169"/>
      <c r="J158" s="169"/>
      <c r="K158" s="170"/>
      <c r="L158" s="179"/>
      <c r="M158" s="180"/>
      <c r="N158" s="180"/>
      <c r="O158" s="180"/>
      <c r="P158" s="180"/>
      <c r="Q158" s="180"/>
      <c r="R158" s="180"/>
      <c r="S158" s="180"/>
      <c r="T158" s="180"/>
      <c r="U158" s="180"/>
      <c r="V158" s="180"/>
      <c r="W158" s="180"/>
      <c r="X158" s="180"/>
      <c r="Y158" s="181"/>
    </row>
    <row r="159" spans="4:25" s="38" customFormat="1" ht="15" customHeight="1" x14ac:dyDescent="0.25">
      <c r="D159" s="168"/>
      <c r="E159" s="169"/>
      <c r="F159" s="169"/>
      <c r="G159" s="169"/>
      <c r="H159" s="169"/>
      <c r="I159" s="169"/>
      <c r="J159" s="169"/>
      <c r="K159" s="170"/>
      <c r="L159" s="179"/>
      <c r="M159" s="180"/>
      <c r="N159" s="180"/>
      <c r="O159" s="180"/>
      <c r="P159" s="180"/>
      <c r="Q159" s="180"/>
      <c r="R159" s="180"/>
      <c r="S159" s="180"/>
      <c r="T159" s="180"/>
      <c r="U159" s="180"/>
      <c r="V159" s="180"/>
      <c r="W159" s="180"/>
      <c r="X159" s="180"/>
      <c r="Y159" s="181"/>
    </row>
    <row r="160" spans="4:25" s="38" customFormat="1" ht="15" customHeight="1" x14ac:dyDescent="0.25">
      <c r="D160" s="168"/>
      <c r="E160" s="169"/>
      <c r="F160" s="169"/>
      <c r="G160" s="169"/>
      <c r="H160" s="169"/>
      <c r="I160" s="169"/>
      <c r="J160" s="169"/>
      <c r="K160" s="170"/>
      <c r="L160" s="179"/>
      <c r="M160" s="180"/>
      <c r="N160" s="180"/>
      <c r="O160" s="180"/>
      <c r="P160" s="180"/>
      <c r="Q160" s="180"/>
      <c r="R160" s="180"/>
      <c r="S160" s="180"/>
      <c r="T160" s="180"/>
      <c r="U160" s="180"/>
      <c r="V160" s="180"/>
      <c r="W160" s="180"/>
      <c r="X160" s="180"/>
      <c r="Y160" s="181"/>
    </row>
    <row r="161" spans="4:25" s="38" customFormat="1" ht="15" customHeight="1" x14ac:dyDescent="0.25">
      <c r="D161" s="168"/>
      <c r="E161" s="169"/>
      <c r="F161" s="169"/>
      <c r="G161" s="169"/>
      <c r="H161" s="169"/>
      <c r="I161" s="169"/>
      <c r="J161" s="169"/>
      <c r="K161" s="170"/>
      <c r="L161" s="179"/>
      <c r="M161" s="180"/>
      <c r="N161" s="180"/>
      <c r="O161" s="180"/>
      <c r="P161" s="180"/>
      <c r="Q161" s="180"/>
      <c r="R161" s="180"/>
      <c r="S161" s="180"/>
      <c r="T161" s="180"/>
      <c r="U161" s="180"/>
      <c r="V161" s="180"/>
      <c r="W161" s="180"/>
      <c r="X161" s="180"/>
      <c r="Y161" s="181"/>
    </row>
    <row r="162" spans="4:25" s="38" customFormat="1" ht="15" customHeight="1" x14ac:dyDescent="0.25">
      <c r="D162" s="168"/>
      <c r="E162" s="169"/>
      <c r="F162" s="169"/>
      <c r="G162" s="169"/>
      <c r="H162" s="169"/>
      <c r="I162" s="169"/>
      <c r="J162" s="169"/>
      <c r="K162" s="170"/>
      <c r="L162" s="179"/>
      <c r="M162" s="180"/>
      <c r="N162" s="180"/>
      <c r="O162" s="180"/>
      <c r="P162" s="180"/>
      <c r="Q162" s="180"/>
      <c r="R162" s="180"/>
      <c r="S162" s="180"/>
      <c r="T162" s="180"/>
      <c r="U162" s="180"/>
      <c r="V162" s="180"/>
      <c r="W162" s="180"/>
      <c r="X162" s="180"/>
      <c r="Y162" s="181"/>
    </row>
    <row r="163" spans="4:25" s="38" customFormat="1" ht="15" customHeight="1" x14ac:dyDescent="0.25">
      <c r="D163" s="168"/>
      <c r="E163" s="169"/>
      <c r="F163" s="169"/>
      <c r="G163" s="169"/>
      <c r="H163" s="169"/>
      <c r="I163" s="169"/>
      <c r="J163" s="169"/>
      <c r="K163" s="170"/>
      <c r="L163" s="179"/>
      <c r="M163" s="180"/>
      <c r="N163" s="180"/>
      <c r="O163" s="180"/>
      <c r="P163" s="180"/>
      <c r="Q163" s="180"/>
      <c r="R163" s="180"/>
      <c r="S163" s="180"/>
      <c r="T163" s="180"/>
      <c r="U163" s="180"/>
      <c r="V163" s="180"/>
      <c r="W163" s="180"/>
      <c r="X163" s="180"/>
      <c r="Y163" s="181"/>
    </row>
    <row r="164" spans="4:25" s="38" customFormat="1" ht="15.75" customHeight="1" thickBot="1" x14ac:dyDescent="0.3">
      <c r="D164" s="171"/>
      <c r="E164" s="172"/>
      <c r="F164" s="172"/>
      <c r="G164" s="172"/>
      <c r="H164" s="172"/>
      <c r="I164" s="172"/>
      <c r="J164" s="172"/>
      <c r="K164" s="173"/>
      <c r="L164" s="182"/>
      <c r="M164" s="183"/>
      <c r="N164" s="183"/>
      <c r="O164" s="183"/>
      <c r="P164" s="183"/>
      <c r="Q164" s="183"/>
      <c r="R164" s="183"/>
      <c r="S164" s="183"/>
      <c r="T164" s="183"/>
      <c r="U164" s="183"/>
      <c r="V164" s="183"/>
      <c r="W164" s="183"/>
      <c r="X164" s="183"/>
      <c r="Y164" s="184"/>
    </row>
    <row r="165" spans="4:25" s="38" customFormat="1" ht="15.75" thickBot="1" x14ac:dyDescent="0.3"/>
    <row r="166" spans="4:25" s="38" customFormat="1" x14ac:dyDescent="0.25">
      <c r="D166" s="165" t="str">
        <f>IF(OR(M153="",O153=""),"VICE",IF(M153&lt;O153,E151,P151))</f>
        <v>Botafogo Rocha</v>
      </c>
      <c r="E166" s="166"/>
      <c r="F166" s="166"/>
      <c r="G166" s="166"/>
      <c r="H166" s="166"/>
      <c r="I166" s="166"/>
      <c r="J166" s="166"/>
      <c r="K166" s="167"/>
      <c r="L166" s="176" t="s">
        <v>71</v>
      </c>
      <c r="M166" s="177"/>
      <c r="N166" s="177"/>
      <c r="O166" s="177"/>
      <c r="P166" s="177"/>
      <c r="Q166" s="177"/>
      <c r="R166" s="177"/>
      <c r="S166" s="177"/>
      <c r="T166" s="177"/>
      <c r="U166" s="177"/>
      <c r="V166" s="177"/>
      <c r="W166" s="177"/>
      <c r="X166" s="177"/>
      <c r="Y166" s="178"/>
    </row>
    <row r="167" spans="4:25" s="38" customFormat="1" x14ac:dyDescent="0.25">
      <c r="D167" s="168"/>
      <c r="E167" s="169"/>
      <c r="F167" s="169"/>
      <c r="G167" s="169"/>
      <c r="H167" s="169"/>
      <c r="I167" s="169"/>
      <c r="J167" s="169"/>
      <c r="K167" s="170"/>
      <c r="L167" s="179"/>
      <c r="M167" s="180"/>
      <c r="N167" s="180"/>
      <c r="O167" s="180"/>
      <c r="P167" s="180"/>
      <c r="Q167" s="180"/>
      <c r="R167" s="180"/>
      <c r="S167" s="180"/>
      <c r="T167" s="180"/>
      <c r="U167" s="180"/>
      <c r="V167" s="180"/>
      <c r="W167" s="180"/>
      <c r="X167" s="180"/>
      <c r="Y167" s="181"/>
    </row>
    <row r="168" spans="4:25" s="38" customFormat="1" x14ac:dyDescent="0.25">
      <c r="D168" s="168"/>
      <c r="E168" s="169"/>
      <c r="F168" s="169"/>
      <c r="G168" s="169"/>
      <c r="H168" s="169"/>
      <c r="I168" s="169"/>
      <c r="J168" s="169"/>
      <c r="K168" s="170"/>
      <c r="L168" s="179"/>
      <c r="M168" s="180"/>
      <c r="N168" s="180"/>
      <c r="O168" s="180"/>
      <c r="P168" s="180"/>
      <c r="Q168" s="180"/>
      <c r="R168" s="180"/>
      <c r="S168" s="180"/>
      <c r="T168" s="180"/>
      <c r="U168" s="180"/>
      <c r="V168" s="180"/>
      <c r="W168" s="180"/>
      <c r="X168" s="180"/>
      <c r="Y168" s="181"/>
    </row>
    <row r="169" spans="4:25" s="38" customFormat="1" x14ac:dyDescent="0.25">
      <c r="D169" s="168"/>
      <c r="E169" s="169"/>
      <c r="F169" s="169"/>
      <c r="G169" s="169"/>
      <c r="H169" s="169"/>
      <c r="I169" s="169"/>
      <c r="J169" s="169"/>
      <c r="K169" s="170"/>
      <c r="L169" s="179"/>
      <c r="M169" s="180"/>
      <c r="N169" s="180"/>
      <c r="O169" s="180"/>
      <c r="P169" s="180"/>
      <c r="Q169" s="180"/>
      <c r="R169" s="180"/>
      <c r="S169" s="180"/>
      <c r="T169" s="180"/>
      <c r="U169" s="180"/>
      <c r="V169" s="180"/>
      <c r="W169" s="180"/>
      <c r="X169" s="180"/>
      <c r="Y169" s="181"/>
    </row>
    <row r="170" spans="4:25" s="38" customFormat="1" x14ac:dyDescent="0.25">
      <c r="D170" s="168"/>
      <c r="E170" s="169"/>
      <c r="F170" s="169"/>
      <c r="G170" s="169"/>
      <c r="H170" s="169"/>
      <c r="I170" s="169"/>
      <c r="J170" s="169"/>
      <c r="K170" s="170"/>
      <c r="L170" s="179"/>
      <c r="M170" s="180"/>
      <c r="N170" s="180"/>
      <c r="O170" s="180"/>
      <c r="P170" s="180"/>
      <c r="Q170" s="180"/>
      <c r="R170" s="180"/>
      <c r="S170" s="180"/>
      <c r="T170" s="180"/>
      <c r="U170" s="180"/>
      <c r="V170" s="180"/>
      <c r="W170" s="180"/>
      <c r="X170" s="180"/>
      <c r="Y170" s="181"/>
    </row>
    <row r="171" spans="4:25" s="38" customFormat="1" x14ac:dyDescent="0.25">
      <c r="D171" s="168"/>
      <c r="E171" s="169"/>
      <c r="F171" s="169"/>
      <c r="G171" s="169"/>
      <c r="H171" s="169"/>
      <c r="I171" s="169"/>
      <c r="J171" s="169"/>
      <c r="K171" s="170"/>
      <c r="L171" s="179"/>
      <c r="M171" s="180"/>
      <c r="N171" s="180"/>
      <c r="O171" s="180"/>
      <c r="P171" s="180"/>
      <c r="Q171" s="180"/>
      <c r="R171" s="180"/>
      <c r="S171" s="180"/>
      <c r="T171" s="180"/>
      <c r="U171" s="180"/>
      <c r="V171" s="180"/>
      <c r="W171" s="180"/>
      <c r="X171" s="180"/>
      <c r="Y171" s="181"/>
    </row>
    <row r="172" spans="4:25" s="38" customFormat="1" x14ac:dyDescent="0.25">
      <c r="D172" s="168"/>
      <c r="E172" s="169"/>
      <c r="F172" s="169"/>
      <c r="G172" s="169"/>
      <c r="H172" s="169"/>
      <c r="I172" s="169"/>
      <c r="J172" s="169"/>
      <c r="K172" s="170"/>
      <c r="L172" s="179"/>
      <c r="M172" s="180"/>
      <c r="N172" s="180"/>
      <c r="O172" s="180"/>
      <c r="P172" s="180"/>
      <c r="Q172" s="180"/>
      <c r="R172" s="180"/>
      <c r="S172" s="180"/>
      <c r="T172" s="180"/>
      <c r="U172" s="180"/>
      <c r="V172" s="180"/>
      <c r="W172" s="180"/>
      <c r="X172" s="180"/>
      <c r="Y172" s="181"/>
    </row>
    <row r="173" spans="4:25" s="38" customFormat="1" x14ac:dyDescent="0.25">
      <c r="D173" s="168"/>
      <c r="E173" s="169"/>
      <c r="F173" s="169"/>
      <c r="G173" s="169"/>
      <c r="H173" s="169"/>
      <c r="I173" s="169"/>
      <c r="J173" s="169"/>
      <c r="K173" s="170"/>
      <c r="L173" s="179"/>
      <c r="M173" s="180"/>
      <c r="N173" s="180"/>
      <c r="O173" s="180"/>
      <c r="P173" s="180"/>
      <c r="Q173" s="180"/>
      <c r="R173" s="180"/>
      <c r="S173" s="180"/>
      <c r="T173" s="180"/>
      <c r="U173" s="180"/>
      <c r="V173" s="180"/>
      <c r="W173" s="180"/>
      <c r="X173" s="180"/>
      <c r="Y173" s="181"/>
    </row>
    <row r="174" spans="4:25" s="38" customFormat="1" x14ac:dyDescent="0.25">
      <c r="D174" s="168"/>
      <c r="E174" s="169"/>
      <c r="F174" s="169"/>
      <c r="G174" s="169"/>
      <c r="H174" s="169"/>
      <c r="I174" s="169"/>
      <c r="J174" s="169"/>
      <c r="K174" s="170"/>
      <c r="L174" s="179"/>
      <c r="M174" s="180"/>
      <c r="N174" s="180"/>
      <c r="O174" s="180"/>
      <c r="P174" s="180"/>
      <c r="Q174" s="180"/>
      <c r="R174" s="180"/>
      <c r="S174" s="180"/>
      <c r="T174" s="180"/>
      <c r="U174" s="180"/>
      <c r="V174" s="180"/>
      <c r="W174" s="180"/>
      <c r="X174" s="180"/>
      <c r="Y174" s="181"/>
    </row>
    <row r="175" spans="4:25" s="38" customFormat="1" ht="15.75" thickBot="1" x14ac:dyDescent="0.3">
      <c r="D175" s="171"/>
      <c r="E175" s="172"/>
      <c r="F175" s="172"/>
      <c r="G175" s="172"/>
      <c r="H175" s="172"/>
      <c r="I175" s="172"/>
      <c r="J175" s="172"/>
      <c r="K175" s="173"/>
      <c r="L175" s="182"/>
      <c r="M175" s="183"/>
      <c r="N175" s="183"/>
      <c r="O175" s="183"/>
      <c r="P175" s="183"/>
      <c r="Q175" s="183"/>
      <c r="R175" s="183"/>
      <c r="S175" s="183"/>
      <c r="T175" s="183"/>
      <c r="U175" s="183"/>
      <c r="V175" s="183"/>
      <c r="W175" s="183"/>
      <c r="X175" s="183"/>
      <c r="Y175" s="184"/>
    </row>
    <row r="176" spans="4:25" s="38" customFormat="1" ht="15.75" thickBot="1" x14ac:dyDescent="0.3"/>
    <row r="177" spans="4:25" s="38" customFormat="1" x14ac:dyDescent="0.25">
      <c r="D177" s="165" t="str">
        <f>IF(OR(M144="",O144=""),"3º LUGAR",IF(M144&gt;O144,E142,P142))</f>
        <v>Engenheirense</v>
      </c>
      <c r="E177" s="166"/>
      <c r="F177" s="166"/>
      <c r="G177" s="166"/>
      <c r="H177" s="166"/>
      <c r="I177" s="166"/>
      <c r="J177" s="166"/>
      <c r="K177" s="167"/>
      <c r="L177" s="176" t="s">
        <v>72</v>
      </c>
      <c r="M177" s="177"/>
      <c r="N177" s="177"/>
      <c r="O177" s="177"/>
      <c r="P177" s="177"/>
      <c r="Q177" s="177"/>
      <c r="R177" s="177"/>
      <c r="S177" s="177"/>
      <c r="T177" s="177"/>
      <c r="U177" s="177"/>
      <c r="V177" s="177"/>
      <c r="W177" s="177"/>
      <c r="X177" s="177"/>
      <c r="Y177" s="178"/>
    </row>
    <row r="178" spans="4:25" s="38" customFormat="1" x14ac:dyDescent="0.25">
      <c r="D178" s="168"/>
      <c r="E178" s="169"/>
      <c r="F178" s="169"/>
      <c r="G178" s="169"/>
      <c r="H178" s="169"/>
      <c r="I178" s="169"/>
      <c r="J178" s="169"/>
      <c r="K178" s="170"/>
      <c r="L178" s="179"/>
      <c r="M178" s="180"/>
      <c r="N178" s="180"/>
      <c r="O178" s="180"/>
      <c r="P178" s="180"/>
      <c r="Q178" s="180"/>
      <c r="R178" s="180"/>
      <c r="S178" s="180"/>
      <c r="T178" s="180"/>
      <c r="U178" s="180"/>
      <c r="V178" s="180"/>
      <c r="W178" s="180"/>
      <c r="X178" s="180"/>
      <c r="Y178" s="181"/>
    </row>
    <row r="179" spans="4:25" s="38" customFormat="1" x14ac:dyDescent="0.25">
      <c r="D179" s="168"/>
      <c r="E179" s="169"/>
      <c r="F179" s="169"/>
      <c r="G179" s="169"/>
      <c r="H179" s="169"/>
      <c r="I179" s="169"/>
      <c r="J179" s="169"/>
      <c r="K179" s="170"/>
      <c r="L179" s="179"/>
      <c r="M179" s="180"/>
      <c r="N179" s="180"/>
      <c r="O179" s="180"/>
      <c r="P179" s="180"/>
      <c r="Q179" s="180"/>
      <c r="R179" s="180"/>
      <c r="S179" s="180"/>
      <c r="T179" s="180"/>
      <c r="U179" s="180"/>
      <c r="V179" s="180"/>
      <c r="W179" s="180"/>
      <c r="X179" s="180"/>
      <c r="Y179" s="181"/>
    </row>
    <row r="180" spans="4:25" s="38" customFormat="1" x14ac:dyDescent="0.25">
      <c r="D180" s="168"/>
      <c r="E180" s="169"/>
      <c r="F180" s="169"/>
      <c r="G180" s="169"/>
      <c r="H180" s="169"/>
      <c r="I180" s="169"/>
      <c r="J180" s="169"/>
      <c r="K180" s="170"/>
      <c r="L180" s="179"/>
      <c r="M180" s="180"/>
      <c r="N180" s="180"/>
      <c r="O180" s="180"/>
      <c r="P180" s="180"/>
      <c r="Q180" s="180"/>
      <c r="R180" s="180"/>
      <c r="S180" s="180"/>
      <c r="T180" s="180"/>
      <c r="U180" s="180"/>
      <c r="V180" s="180"/>
      <c r="W180" s="180"/>
      <c r="X180" s="180"/>
      <c r="Y180" s="181"/>
    </row>
    <row r="181" spans="4:25" s="38" customFormat="1" x14ac:dyDescent="0.25">
      <c r="D181" s="168"/>
      <c r="E181" s="169"/>
      <c r="F181" s="169"/>
      <c r="G181" s="169"/>
      <c r="H181" s="169"/>
      <c r="I181" s="169"/>
      <c r="J181" s="169"/>
      <c r="K181" s="170"/>
      <c r="L181" s="179"/>
      <c r="M181" s="180"/>
      <c r="N181" s="180"/>
      <c r="O181" s="180"/>
      <c r="P181" s="180"/>
      <c r="Q181" s="180"/>
      <c r="R181" s="180"/>
      <c r="S181" s="180"/>
      <c r="T181" s="180"/>
      <c r="U181" s="180"/>
      <c r="V181" s="180"/>
      <c r="W181" s="180"/>
      <c r="X181" s="180"/>
      <c r="Y181" s="181"/>
    </row>
    <row r="182" spans="4:25" s="38" customFormat="1" x14ac:dyDescent="0.25">
      <c r="D182" s="168"/>
      <c r="E182" s="169"/>
      <c r="F182" s="169"/>
      <c r="G182" s="169"/>
      <c r="H182" s="169"/>
      <c r="I182" s="169"/>
      <c r="J182" s="169"/>
      <c r="K182" s="170"/>
      <c r="L182" s="179"/>
      <c r="M182" s="180"/>
      <c r="N182" s="180"/>
      <c r="O182" s="180"/>
      <c r="P182" s="180"/>
      <c r="Q182" s="180"/>
      <c r="R182" s="180"/>
      <c r="S182" s="180"/>
      <c r="T182" s="180"/>
      <c r="U182" s="180"/>
      <c r="V182" s="180"/>
      <c r="W182" s="180"/>
      <c r="X182" s="180"/>
      <c r="Y182" s="181"/>
    </row>
    <row r="183" spans="4:25" s="38" customFormat="1" x14ac:dyDescent="0.25">
      <c r="D183" s="168"/>
      <c r="E183" s="169"/>
      <c r="F183" s="169"/>
      <c r="G183" s="169"/>
      <c r="H183" s="169"/>
      <c r="I183" s="169"/>
      <c r="J183" s="169"/>
      <c r="K183" s="170"/>
      <c r="L183" s="179"/>
      <c r="M183" s="180"/>
      <c r="N183" s="180"/>
      <c r="O183" s="180"/>
      <c r="P183" s="180"/>
      <c r="Q183" s="180"/>
      <c r="R183" s="180"/>
      <c r="S183" s="180"/>
      <c r="T183" s="180"/>
      <c r="U183" s="180"/>
      <c r="V183" s="180"/>
      <c r="W183" s="180"/>
      <c r="X183" s="180"/>
      <c r="Y183" s="181"/>
    </row>
    <row r="184" spans="4:25" s="38" customFormat="1" x14ac:dyDescent="0.25">
      <c r="D184" s="168"/>
      <c r="E184" s="169"/>
      <c r="F184" s="169"/>
      <c r="G184" s="169"/>
      <c r="H184" s="169"/>
      <c r="I184" s="169"/>
      <c r="J184" s="169"/>
      <c r="K184" s="170"/>
      <c r="L184" s="179"/>
      <c r="M184" s="180"/>
      <c r="N184" s="180"/>
      <c r="O184" s="180"/>
      <c r="P184" s="180"/>
      <c r="Q184" s="180"/>
      <c r="R184" s="180"/>
      <c r="S184" s="180"/>
      <c r="T184" s="180"/>
      <c r="U184" s="180"/>
      <c r="V184" s="180"/>
      <c r="W184" s="180"/>
      <c r="X184" s="180"/>
      <c r="Y184" s="181"/>
    </row>
    <row r="185" spans="4:25" s="38" customFormat="1" x14ac:dyDescent="0.25">
      <c r="D185" s="168"/>
      <c r="E185" s="169"/>
      <c r="F185" s="169"/>
      <c r="G185" s="169"/>
      <c r="H185" s="169"/>
      <c r="I185" s="169"/>
      <c r="J185" s="169"/>
      <c r="K185" s="170"/>
      <c r="L185" s="179"/>
      <c r="M185" s="180"/>
      <c r="N185" s="180"/>
      <c r="O185" s="180"/>
      <c r="P185" s="180"/>
      <c r="Q185" s="180"/>
      <c r="R185" s="180"/>
      <c r="S185" s="180"/>
      <c r="T185" s="180"/>
      <c r="U185" s="180"/>
      <c r="V185" s="180"/>
      <c r="W185" s="180"/>
      <c r="X185" s="180"/>
      <c r="Y185" s="181"/>
    </row>
    <row r="186" spans="4:25" s="38" customFormat="1" ht="15.75" thickBot="1" x14ac:dyDescent="0.3">
      <c r="D186" s="171"/>
      <c r="E186" s="172"/>
      <c r="F186" s="172"/>
      <c r="G186" s="172"/>
      <c r="H186" s="172"/>
      <c r="I186" s="172"/>
      <c r="J186" s="172"/>
      <c r="K186" s="173"/>
      <c r="L186" s="182"/>
      <c r="M186" s="183"/>
      <c r="N186" s="183"/>
      <c r="O186" s="183"/>
      <c r="P186" s="183"/>
      <c r="Q186" s="183"/>
      <c r="R186" s="183"/>
      <c r="S186" s="183"/>
      <c r="T186" s="183"/>
      <c r="U186" s="183"/>
      <c r="V186" s="183"/>
      <c r="W186" s="183"/>
      <c r="X186" s="183"/>
      <c r="Y186" s="184"/>
    </row>
    <row r="187" spans="4:25" s="38" customFormat="1" ht="15.75" thickBot="1" x14ac:dyDescent="0.3"/>
    <row r="188" spans="4:25" s="38" customFormat="1" x14ac:dyDescent="0.25">
      <c r="D188" s="165" t="str">
        <f>IF(OR(M144="",O144=""),"4º LUGAR",IF(M144&lt;O144,E142,P142))</f>
        <v>Tribe of Gypses</v>
      </c>
      <c r="E188" s="166"/>
      <c r="F188" s="166"/>
      <c r="G188" s="166"/>
      <c r="H188" s="166"/>
      <c r="I188" s="166"/>
      <c r="J188" s="166"/>
      <c r="K188" s="167"/>
      <c r="L188" s="176" t="s">
        <v>73</v>
      </c>
      <c r="M188" s="177"/>
      <c r="N188" s="177"/>
      <c r="O188" s="177"/>
      <c r="P188" s="177"/>
      <c r="Q188" s="177"/>
      <c r="R188" s="177"/>
      <c r="S188" s="177"/>
      <c r="T188" s="177"/>
      <c r="U188" s="177"/>
      <c r="V188" s="177"/>
      <c r="W188" s="177"/>
      <c r="X188" s="177"/>
      <c r="Y188" s="178"/>
    </row>
    <row r="189" spans="4:25" s="38" customFormat="1" x14ac:dyDescent="0.25">
      <c r="D189" s="168"/>
      <c r="E189" s="169"/>
      <c r="F189" s="169"/>
      <c r="G189" s="169"/>
      <c r="H189" s="169"/>
      <c r="I189" s="169"/>
      <c r="J189" s="169"/>
      <c r="K189" s="170"/>
      <c r="L189" s="179"/>
      <c r="M189" s="180"/>
      <c r="N189" s="180"/>
      <c r="O189" s="180"/>
      <c r="P189" s="180"/>
      <c r="Q189" s="180"/>
      <c r="R189" s="180"/>
      <c r="S189" s="180"/>
      <c r="T189" s="180"/>
      <c r="U189" s="180"/>
      <c r="V189" s="180"/>
      <c r="W189" s="180"/>
      <c r="X189" s="180"/>
      <c r="Y189" s="181"/>
    </row>
    <row r="190" spans="4:25" s="38" customFormat="1" x14ac:dyDescent="0.25">
      <c r="D190" s="168"/>
      <c r="E190" s="169"/>
      <c r="F190" s="169"/>
      <c r="G190" s="169"/>
      <c r="H190" s="169"/>
      <c r="I190" s="169"/>
      <c r="J190" s="169"/>
      <c r="K190" s="170"/>
      <c r="L190" s="179"/>
      <c r="M190" s="180"/>
      <c r="N190" s="180"/>
      <c r="O190" s="180"/>
      <c r="P190" s="180"/>
      <c r="Q190" s="180"/>
      <c r="R190" s="180"/>
      <c r="S190" s="180"/>
      <c r="T190" s="180"/>
      <c r="U190" s="180"/>
      <c r="V190" s="180"/>
      <c r="W190" s="180"/>
      <c r="X190" s="180"/>
      <c r="Y190" s="181"/>
    </row>
    <row r="191" spans="4:25" s="38" customFormat="1" x14ac:dyDescent="0.25">
      <c r="D191" s="168"/>
      <c r="E191" s="169"/>
      <c r="F191" s="169"/>
      <c r="G191" s="169"/>
      <c r="H191" s="169"/>
      <c r="I191" s="169"/>
      <c r="J191" s="169"/>
      <c r="K191" s="170"/>
      <c r="L191" s="179"/>
      <c r="M191" s="180"/>
      <c r="N191" s="180"/>
      <c r="O191" s="180"/>
      <c r="P191" s="180"/>
      <c r="Q191" s="180"/>
      <c r="R191" s="180"/>
      <c r="S191" s="180"/>
      <c r="T191" s="180"/>
      <c r="U191" s="180"/>
      <c r="V191" s="180"/>
      <c r="W191" s="180"/>
      <c r="X191" s="180"/>
      <c r="Y191" s="181"/>
    </row>
    <row r="192" spans="4:25" s="38" customFormat="1" x14ac:dyDescent="0.25">
      <c r="D192" s="168"/>
      <c r="E192" s="169"/>
      <c r="F192" s="169"/>
      <c r="G192" s="169"/>
      <c r="H192" s="169"/>
      <c r="I192" s="169"/>
      <c r="J192" s="169"/>
      <c r="K192" s="170"/>
      <c r="L192" s="179"/>
      <c r="M192" s="180"/>
      <c r="N192" s="180"/>
      <c r="O192" s="180"/>
      <c r="P192" s="180"/>
      <c r="Q192" s="180"/>
      <c r="R192" s="180"/>
      <c r="S192" s="180"/>
      <c r="T192" s="180"/>
      <c r="U192" s="180"/>
      <c r="V192" s="180"/>
      <c r="W192" s="180"/>
      <c r="X192" s="180"/>
      <c r="Y192" s="181"/>
    </row>
    <row r="193" spans="4:25" s="38" customFormat="1" x14ac:dyDescent="0.25">
      <c r="D193" s="168"/>
      <c r="E193" s="169"/>
      <c r="F193" s="169"/>
      <c r="G193" s="169"/>
      <c r="H193" s="169"/>
      <c r="I193" s="169"/>
      <c r="J193" s="169"/>
      <c r="K193" s="170"/>
      <c r="L193" s="179"/>
      <c r="M193" s="180"/>
      <c r="N193" s="180"/>
      <c r="O193" s="180"/>
      <c r="P193" s="180"/>
      <c r="Q193" s="180"/>
      <c r="R193" s="180"/>
      <c r="S193" s="180"/>
      <c r="T193" s="180"/>
      <c r="U193" s="180"/>
      <c r="V193" s="180"/>
      <c r="W193" s="180"/>
      <c r="X193" s="180"/>
      <c r="Y193" s="181"/>
    </row>
    <row r="194" spans="4:25" s="38" customFormat="1" x14ac:dyDescent="0.25">
      <c r="D194" s="168"/>
      <c r="E194" s="169"/>
      <c r="F194" s="169"/>
      <c r="G194" s="169"/>
      <c r="H194" s="169"/>
      <c r="I194" s="169"/>
      <c r="J194" s="169"/>
      <c r="K194" s="170"/>
      <c r="L194" s="179"/>
      <c r="M194" s="180"/>
      <c r="N194" s="180"/>
      <c r="O194" s="180"/>
      <c r="P194" s="180"/>
      <c r="Q194" s="180"/>
      <c r="R194" s="180"/>
      <c r="S194" s="180"/>
      <c r="T194" s="180"/>
      <c r="U194" s="180"/>
      <c r="V194" s="180"/>
      <c r="W194" s="180"/>
      <c r="X194" s="180"/>
      <c r="Y194" s="181"/>
    </row>
    <row r="195" spans="4:25" s="38" customFormat="1" x14ac:dyDescent="0.25">
      <c r="D195" s="168"/>
      <c r="E195" s="169"/>
      <c r="F195" s="169"/>
      <c r="G195" s="169"/>
      <c r="H195" s="169"/>
      <c r="I195" s="169"/>
      <c r="J195" s="169"/>
      <c r="K195" s="170"/>
      <c r="L195" s="179"/>
      <c r="M195" s="180"/>
      <c r="N195" s="180"/>
      <c r="O195" s="180"/>
      <c r="P195" s="180"/>
      <c r="Q195" s="180"/>
      <c r="R195" s="180"/>
      <c r="S195" s="180"/>
      <c r="T195" s="180"/>
      <c r="U195" s="180"/>
      <c r="V195" s="180"/>
      <c r="W195" s="180"/>
      <c r="X195" s="180"/>
      <c r="Y195" s="181"/>
    </row>
    <row r="196" spans="4:25" s="38" customFormat="1" x14ac:dyDescent="0.25">
      <c r="D196" s="168"/>
      <c r="E196" s="169"/>
      <c r="F196" s="169"/>
      <c r="G196" s="169"/>
      <c r="H196" s="169"/>
      <c r="I196" s="169"/>
      <c r="J196" s="169"/>
      <c r="K196" s="170"/>
      <c r="L196" s="179"/>
      <c r="M196" s="180"/>
      <c r="N196" s="180"/>
      <c r="O196" s="180"/>
      <c r="P196" s="180"/>
      <c r="Q196" s="180"/>
      <c r="R196" s="180"/>
      <c r="S196" s="180"/>
      <c r="T196" s="180"/>
      <c r="U196" s="180"/>
      <c r="V196" s="180"/>
      <c r="W196" s="180"/>
      <c r="X196" s="180"/>
      <c r="Y196" s="181"/>
    </row>
    <row r="197" spans="4:25" s="38" customFormat="1" ht="15.75" thickBot="1" x14ac:dyDescent="0.3">
      <c r="D197" s="171"/>
      <c r="E197" s="172"/>
      <c r="F197" s="172"/>
      <c r="G197" s="172"/>
      <c r="H197" s="172"/>
      <c r="I197" s="172"/>
      <c r="J197" s="172"/>
      <c r="K197" s="173"/>
      <c r="L197" s="182"/>
      <c r="M197" s="183"/>
      <c r="N197" s="183"/>
      <c r="O197" s="183"/>
      <c r="P197" s="183"/>
      <c r="Q197" s="183"/>
      <c r="R197" s="183"/>
      <c r="S197" s="183"/>
      <c r="T197" s="183"/>
      <c r="U197" s="183"/>
      <c r="V197" s="183"/>
      <c r="W197" s="183"/>
      <c r="X197" s="183"/>
      <c r="Y197" s="184"/>
    </row>
    <row r="198" spans="4:25" ht="15" customHeight="1" thickBot="1" x14ac:dyDescent="0.3"/>
    <row r="199" spans="4:25" ht="15" customHeight="1" x14ac:dyDescent="0.25">
      <c r="D199" s="165" t="str">
        <f>IF(OR(M135="",O135=""),"5º LUGAR",IF(M135&gt;O135,E133,P133))</f>
        <v>.In$a.nyo$.Br</v>
      </c>
      <c r="E199" s="166"/>
      <c r="F199" s="166"/>
      <c r="G199" s="166"/>
      <c r="H199" s="166"/>
      <c r="I199" s="166"/>
      <c r="J199" s="166"/>
      <c r="K199" s="167"/>
      <c r="L199" s="176" t="s">
        <v>74</v>
      </c>
      <c r="M199" s="177"/>
      <c r="N199" s="177"/>
      <c r="O199" s="177"/>
      <c r="P199" s="177"/>
      <c r="Q199" s="177"/>
      <c r="R199" s="177"/>
      <c r="S199" s="177"/>
      <c r="T199" s="177"/>
      <c r="U199" s="177"/>
      <c r="V199" s="177"/>
      <c r="W199" s="177"/>
      <c r="X199" s="177"/>
      <c r="Y199" s="178"/>
    </row>
    <row r="200" spans="4:25" ht="15" customHeight="1" x14ac:dyDescent="0.25">
      <c r="D200" s="168"/>
      <c r="E200" s="169"/>
      <c r="F200" s="169"/>
      <c r="G200" s="169"/>
      <c r="H200" s="169"/>
      <c r="I200" s="169"/>
      <c r="J200" s="169"/>
      <c r="K200" s="170"/>
      <c r="L200" s="179"/>
      <c r="M200" s="180"/>
      <c r="N200" s="180"/>
      <c r="O200" s="180"/>
      <c r="P200" s="180"/>
      <c r="Q200" s="180"/>
      <c r="R200" s="180"/>
      <c r="S200" s="180"/>
      <c r="T200" s="180"/>
      <c r="U200" s="180"/>
      <c r="V200" s="180"/>
      <c r="W200" s="180"/>
      <c r="X200" s="180"/>
      <c r="Y200" s="181"/>
    </row>
    <row r="201" spans="4:25" ht="15" customHeight="1" x14ac:dyDescent="0.25">
      <c r="D201" s="168"/>
      <c r="E201" s="169"/>
      <c r="F201" s="169"/>
      <c r="G201" s="169"/>
      <c r="H201" s="169"/>
      <c r="I201" s="169"/>
      <c r="J201" s="169"/>
      <c r="K201" s="170"/>
      <c r="L201" s="179"/>
      <c r="M201" s="180"/>
      <c r="N201" s="180"/>
      <c r="O201" s="180"/>
      <c r="P201" s="180"/>
      <c r="Q201" s="180"/>
      <c r="R201" s="180"/>
      <c r="S201" s="180"/>
      <c r="T201" s="180"/>
      <c r="U201" s="180"/>
      <c r="V201" s="180"/>
      <c r="W201" s="180"/>
      <c r="X201" s="180"/>
      <c r="Y201" s="181"/>
    </row>
    <row r="202" spans="4:25" ht="15" customHeight="1" x14ac:dyDescent="0.25">
      <c r="D202" s="168"/>
      <c r="E202" s="169"/>
      <c r="F202" s="169"/>
      <c r="G202" s="169"/>
      <c r="H202" s="169"/>
      <c r="I202" s="169"/>
      <c r="J202" s="169"/>
      <c r="K202" s="170"/>
      <c r="L202" s="179"/>
      <c r="M202" s="180"/>
      <c r="N202" s="180"/>
      <c r="O202" s="180"/>
      <c r="P202" s="180"/>
      <c r="Q202" s="180"/>
      <c r="R202" s="180"/>
      <c r="S202" s="180"/>
      <c r="T202" s="180"/>
      <c r="U202" s="180"/>
      <c r="V202" s="180"/>
      <c r="W202" s="180"/>
      <c r="X202" s="180"/>
      <c r="Y202" s="181"/>
    </row>
    <row r="203" spans="4:25" ht="15" customHeight="1" x14ac:dyDescent="0.25">
      <c r="D203" s="168"/>
      <c r="E203" s="169"/>
      <c r="F203" s="169"/>
      <c r="G203" s="169"/>
      <c r="H203" s="169"/>
      <c r="I203" s="169"/>
      <c r="J203" s="169"/>
      <c r="K203" s="170"/>
      <c r="L203" s="179"/>
      <c r="M203" s="180"/>
      <c r="N203" s="180"/>
      <c r="O203" s="180"/>
      <c r="P203" s="180"/>
      <c r="Q203" s="180"/>
      <c r="R203" s="180"/>
      <c r="S203" s="180"/>
      <c r="T203" s="180"/>
      <c r="U203" s="180"/>
      <c r="V203" s="180"/>
      <c r="W203" s="180"/>
      <c r="X203" s="180"/>
      <c r="Y203" s="181"/>
    </row>
    <row r="204" spans="4:25" ht="15" customHeight="1" x14ac:dyDescent="0.25">
      <c r="D204" s="168"/>
      <c r="E204" s="169"/>
      <c r="F204" s="169"/>
      <c r="G204" s="169"/>
      <c r="H204" s="169"/>
      <c r="I204" s="169"/>
      <c r="J204" s="169"/>
      <c r="K204" s="170"/>
      <c r="L204" s="179"/>
      <c r="M204" s="180"/>
      <c r="N204" s="180"/>
      <c r="O204" s="180"/>
      <c r="P204" s="180"/>
      <c r="Q204" s="180"/>
      <c r="R204" s="180"/>
      <c r="S204" s="180"/>
      <c r="T204" s="180"/>
      <c r="U204" s="180"/>
      <c r="V204" s="180"/>
      <c r="W204" s="180"/>
      <c r="X204" s="180"/>
      <c r="Y204" s="181"/>
    </row>
    <row r="205" spans="4:25" ht="15" customHeight="1" x14ac:dyDescent="0.25">
      <c r="D205" s="168"/>
      <c r="E205" s="169"/>
      <c r="F205" s="169"/>
      <c r="G205" s="169"/>
      <c r="H205" s="169"/>
      <c r="I205" s="169"/>
      <c r="J205" s="169"/>
      <c r="K205" s="170"/>
      <c r="L205" s="179"/>
      <c r="M205" s="180"/>
      <c r="N205" s="180"/>
      <c r="O205" s="180"/>
      <c r="P205" s="180"/>
      <c r="Q205" s="180"/>
      <c r="R205" s="180"/>
      <c r="S205" s="180"/>
      <c r="T205" s="180"/>
      <c r="U205" s="180"/>
      <c r="V205" s="180"/>
      <c r="W205" s="180"/>
      <c r="X205" s="180"/>
      <c r="Y205" s="181"/>
    </row>
    <row r="206" spans="4:25" ht="15" customHeight="1" x14ac:dyDescent="0.25">
      <c r="D206" s="168"/>
      <c r="E206" s="169"/>
      <c r="F206" s="169"/>
      <c r="G206" s="169"/>
      <c r="H206" s="169"/>
      <c r="I206" s="169"/>
      <c r="J206" s="169"/>
      <c r="K206" s="170"/>
      <c r="L206" s="179"/>
      <c r="M206" s="180"/>
      <c r="N206" s="180"/>
      <c r="O206" s="180"/>
      <c r="P206" s="180"/>
      <c r="Q206" s="180"/>
      <c r="R206" s="180"/>
      <c r="S206" s="180"/>
      <c r="T206" s="180"/>
      <c r="U206" s="180"/>
      <c r="V206" s="180"/>
      <c r="W206" s="180"/>
      <c r="X206" s="180"/>
      <c r="Y206" s="181"/>
    </row>
    <row r="207" spans="4:25" ht="15.75" customHeight="1" x14ac:dyDescent="0.25">
      <c r="D207" s="168"/>
      <c r="E207" s="169"/>
      <c r="F207" s="169"/>
      <c r="G207" s="169"/>
      <c r="H207" s="169"/>
      <c r="I207" s="169"/>
      <c r="J207" s="169"/>
      <c r="K207" s="170"/>
      <c r="L207" s="179"/>
      <c r="M207" s="180"/>
      <c r="N207" s="180"/>
      <c r="O207" s="180"/>
      <c r="P207" s="180"/>
      <c r="Q207" s="180"/>
      <c r="R207" s="180"/>
      <c r="S207" s="180"/>
      <c r="T207" s="180"/>
      <c r="U207" s="180"/>
      <c r="V207" s="180"/>
      <c r="W207" s="180"/>
      <c r="X207" s="180"/>
      <c r="Y207" s="181"/>
    </row>
    <row r="208" spans="4:25" ht="15.75" thickBot="1" x14ac:dyDescent="0.3">
      <c r="D208" s="171"/>
      <c r="E208" s="172"/>
      <c r="F208" s="172"/>
      <c r="G208" s="172"/>
      <c r="H208" s="172"/>
      <c r="I208" s="172"/>
      <c r="J208" s="172"/>
      <c r="K208" s="173"/>
      <c r="L208" s="182"/>
      <c r="M208" s="183"/>
      <c r="N208" s="183"/>
      <c r="O208" s="183"/>
      <c r="P208" s="183"/>
      <c r="Q208" s="183"/>
      <c r="R208" s="183"/>
      <c r="S208" s="183"/>
      <c r="T208" s="183"/>
      <c r="U208" s="183"/>
      <c r="V208" s="183"/>
      <c r="W208" s="183"/>
      <c r="X208" s="183"/>
      <c r="Y208" s="184"/>
    </row>
    <row r="209" spans="4:25" ht="15" customHeight="1" thickBot="1" x14ac:dyDescent="0.3"/>
    <row r="210" spans="4:25" x14ac:dyDescent="0.25">
      <c r="D210" s="165" t="str">
        <f>IF(OR(M135="",O135=""),"6º LUGAR",IF(M135&lt;O135,E133,P133))</f>
        <v>US Karas</v>
      </c>
      <c r="E210" s="166"/>
      <c r="F210" s="166"/>
      <c r="G210" s="166"/>
      <c r="H210" s="166"/>
      <c r="I210" s="166"/>
      <c r="J210" s="166"/>
      <c r="K210" s="167"/>
      <c r="L210" s="176" t="s">
        <v>75</v>
      </c>
      <c r="M210" s="177"/>
      <c r="N210" s="177"/>
      <c r="O210" s="177"/>
      <c r="P210" s="177"/>
      <c r="Q210" s="177"/>
      <c r="R210" s="177"/>
      <c r="S210" s="177"/>
      <c r="T210" s="177"/>
      <c r="U210" s="177"/>
      <c r="V210" s="177"/>
      <c r="W210" s="177"/>
      <c r="X210" s="177"/>
      <c r="Y210" s="178"/>
    </row>
    <row r="211" spans="4:25" x14ac:dyDescent="0.25">
      <c r="D211" s="168"/>
      <c r="E211" s="169"/>
      <c r="F211" s="169"/>
      <c r="G211" s="169"/>
      <c r="H211" s="169"/>
      <c r="I211" s="169"/>
      <c r="J211" s="169"/>
      <c r="K211" s="170"/>
      <c r="L211" s="179"/>
      <c r="M211" s="180"/>
      <c r="N211" s="180"/>
      <c r="O211" s="180"/>
      <c r="P211" s="180"/>
      <c r="Q211" s="180"/>
      <c r="R211" s="180"/>
      <c r="S211" s="180"/>
      <c r="T211" s="180"/>
      <c r="U211" s="180"/>
      <c r="V211" s="180"/>
      <c r="W211" s="180"/>
      <c r="X211" s="180"/>
      <c r="Y211" s="181"/>
    </row>
    <row r="212" spans="4:25" x14ac:dyDescent="0.25">
      <c r="D212" s="168"/>
      <c r="E212" s="169"/>
      <c r="F212" s="169"/>
      <c r="G212" s="169"/>
      <c r="H212" s="169"/>
      <c r="I212" s="169"/>
      <c r="J212" s="169"/>
      <c r="K212" s="170"/>
      <c r="L212" s="179"/>
      <c r="M212" s="180"/>
      <c r="N212" s="180"/>
      <c r="O212" s="180"/>
      <c r="P212" s="180"/>
      <c r="Q212" s="180"/>
      <c r="R212" s="180"/>
      <c r="S212" s="180"/>
      <c r="T212" s="180"/>
      <c r="U212" s="180"/>
      <c r="V212" s="180"/>
      <c r="W212" s="180"/>
      <c r="X212" s="180"/>
      <c r="Y212" s="181"/>
    </row>
    <row r="213" spans="4:25" x14ac:dyDescent="0.25">
      <c r="D213" s="168"/>
      <c r="E213" s="169"/>
      <c r="F213" s="169"/>
      <c r="G213" s="169"/>
      <c r="H213" s="169"/>
      <c r="I213" s="169"/>
      <c r="J213" s="169"/>
      <c r="K213" s="170"/>
      <c r="L213" s="179"/>
      <c r="M213" s="180"/>
      <c r="N213" s="180"/>
      <c r="O213" s="180"/>
      <c r="P213" s="180"/>
      <c r="Q213" s="180"/>
      <c r="R213" s="180"/>
      <c r="S213" s="180"/>
      <c r="T213" s="180"/>
      <c r="U213" s="180"/>
      <c r="V213" s="180"/>
      <c r="W213" s="180"/>
      <c r="X213" s="180"/>
      <c r="Y213" s="181"/>
    </row>
    <row r="214" spans="4:25" x14ac:dyDescent="0.25">
      <c r="D214" s="168"/>
      <c r="E214" s="169"/>
      <c r="F214" s="169"/>
      <c r="G214" s="169"/>
      <c r="H214" s="169"/>
      <c r="I214" s="169"/>
      <c r="J214" s="169"/>
      <c r="K214" s="170"/>
      <c r="L214" s="179"/>
      <c r="M214" s="180"/>
      <c r="N214" s="180"/>
      <c r="O214" s="180"/>
      <c r="P214" s="180"/>
      <c r="Q214" s="180"/>
      <c r="R214" s="180"/>
      <c r="S214" s="180"/>
      <c r="T214" s="180"/>
      <c r="U214" s="180"/>
      <c r="V214" s="180"/>
      <c r="W214" s="180"/>
      <c r="X214" s="180"/>
      <c r="Y214" s="181"/>
    </row>
    <row r="215" spans="4:25" x14ac:dyDescent="0.25">
      <c r="D215" s="168"/>
      <c r="E215" s="169"/>
      <c r="F215" s="169"/>
      <c r="G215" s="169"/>
      <c r="H215" s="169"/>
      <c r="I215" s="169"/>
      <c r="J215" s="169"/>
      <c r="K215" s="170"/>
      <c r="L215" s="179"/>
      <c r="M215" s="180"/>
      <c r="N215" s="180"/>
      <c r="O215" s="180"/>
      <c r="P215" s="180"/>
      <c r="Q215" s="180"/>
      <c r="R215" s="180"/>
      <c r="S215" s="180"/>
      <c r="T215" s="180"/>
      <c r="U215" s="180"/>
      <c r="V215" s="180"/>
      <c r="W215" s="180"/>
      <c r="X215" s="180"/>
      <c r="Y215" s="181"/>
    </row>
    <row r="216" spans="4:25" x14ac:dyDescent="0.25">
      <c r="D216" s="168"/>
      <c r="E216" s="169"/>
      <c r="F216" s="169"/>
      <c r="G216" s="169"/>
      <c r="H216" s="169"/>
      <c r="I216" s="169"/>
      <c r="J216" s="169"/>
      <c r="K216" s="170"/>
      <c r="L216" s="179"/>
      <c r="M216" s="180"/>
      <c r="N216" s="180"/>
      <c r="O216" s="180"/>
      <c r="P216" s="180"/>
      <c r="Q216" s="180"/>
      <c r="R216" s="180"/>
      <c r="S216" s="180"/>
      <c r="T216" s="180"/>
      <c r="U216" s="180"/>
      <c r="V216" s="180"/>
      <c r="W216" s="180"/>
      <c r="X216" s="180"/>
      <c r="Y216" s="181"/>
    </row>
    <row r="217" spans="4:25" x14ac:dyDescent="0.25">
      <c r="D217" s="168"/>
      <c r="E217" s="169"/>
      <c r="F217" s="169"/>
      <c r="G217" s="169"/>
      <c r="H217" s="169"/>
      <c r="I217" s="169"/>
      <c r="J217" s="169"/>
      <c r="K217" s="170"/>
      <c r="L217" s="179"/>
      <c r="M217" s="180"/>
      <c r="N217" s="180"/>
      <c r="O217" s="180"/>
      <c r="P217" s="180"/>
      <c r="Q217" s="180"/>
      <c r="R217" s="180"/>
      <c r="S217" s="180"/>
      <c r="T217" s="180"/>
      <c r="U217" s="180"/>
      <c r="V217" s="180"/>
      <c r="W217" s="180"/>
      <c r="X217" s="180"/>
      <c r="Y217" s="181"/>
    </row>
    <row r="218" spans="4:25" x14ac:dyDescent="0.25">
      <c r="D218" s="168"/>
      <c r="E218" s="169"/>
      <c r="F218" s="169"/>
      <c r="G218" s="169"/>
      <c r="H218" s="169"/>
      <c r="I218" s="169"/>
      <c r="J218" s="169"/>
      <c r="K218" s="170"/>
      <c r="L218" s="179"/>
      <c r="M218" s="180"/>
      <c r="N218" s="180"/>
      <c r="O218" s="180"/>
      <c r="P218" s="180"/>
      <c r="Q218" s="180"/>
      <c r="R218" s="180"/>
      <c r="S218" s="180"/>
      <c r="T218" s="180"/>
      <c r="U218" s="180"/>
      <c r="V218" s="180"/>
      <c r="W218" s="180"/>
      <c r="X218" s="180"/>
      <c r="Y218" s="181"/>
    </row>
    <row r="219" spans="4:25" ht="15.75" thickBot="1" x14ac:dyDescent="0.3">
      <c r="D219" s="171"/>
      <c r="E219" s="172"/>
      <c r="F219" s="172"/>
      <c r="G219" s="172"/>
      <c r="H219" s="172"/>
      <c r="I219" s="172"/>
      <c r="J219" s="172"/>
      <c r="K219" s="173"/>
      <c r="L219" s="182"/>
      <c r="M219" s="183"/>
      <c r="N219" s="183"/>
      <c r="O219" s="183"/>
      <c r="P219" s="183"/>
      <c r="Q219" s="183"/>
      <c r="R219" s="183"/>
      <c r="S219" s="183"/>
      <c r="T219" s="183"/>
      <c r="U219" s="183"/>
      <c r="V219" s="183"/>
      <c r="W219" s="183"/>
      <c r="X219" s="183"/>
      <c r="Y219" s="184"/>
    </row>
    <row r="220" spans="4:25" ht="15.75" thickBot="1" x14ac:dyDescent="0.3"/>
    <row r="221" spans="4:25" x14ac:dyDescent="0.25">
      <c r="D221" s="165" t="str">
        <f>IF(OR(M126="",O126=""),"7º LUGAR",IF(M126&gt;O126,E124,P124))</f>
        <v>F.C. Bugrao</v>
      </c>
      <c r="E221" s="166"/>
      <c r="F221" s="166"/>
      <c r="G221" s="166"/>
      <c r="H221" s="166"/>
      <c r="I221" s="166"/>
      <c r="J221" s="166"/>
      <c r="K221" s="167"/>
      <c r="L221" s="176" t="s">
        <v>76</v>
      </c>
      <c r="M221" s="177"/>
      <c r="N221" s="177"/>
      <c r="O221" s="177"/>
      <c r="P221" s="177"/>
      <c r="Q221" s="177"/>
      <c r="R221" s="177"/>
      <c r="S221" s="177"/>
      <c r="T221" s="177"/>
      <c r="U221" s="177"/>
      <c r="V221" s="177"/>
      <c r="W221" s="177"/>
      <c r="X221" s="177"/>
      <c r="Y221" s="178"/>
    </row>
    <row r="222" spans="4:25" x14ac:dyDescent="0.25">
      <c r="D222" s="168"/>
      <c r="E222" s="169"/>
      <c r="F222" s="169"/>
      <c r="G222" s="169"/>
      <c r="H222" s="169"/>
      <c r="I222" s="169"/>
      <c r="J222" s="169"/>
      <c r="K222" s="170"/>
      <c r="L222" s="179"/>
      <c r="M222" s="180"/>
      <c r="N222" s="180"/>
      <c r="O222" s="180"/>
      <c r="P222" s="180"/>
      <c r="Q222" s="180"/>
      <c r="R222" s="180"/>
      <c r="S222" s="180"/>
      <c r="T222" s="180"/>
      <c r="U222" s="180"/>
      <c r="V222" s="180"/>
      <c r="W222" s="180"/>
      <c r="X222" s="180"/>
      <c r="Y222" s="181"/>
    </row>
    <row r="223" spans="4:25" x14ac:dyDescent="0.25">
      <c r="D223" s="168"/>
      <c r="E223" s="169"/>
      <c r="F223" s="169"/>
      <c r="G223" s="169"/>
      <c r="H223" s="169"/>
      <c r="I223" s="169"/>
      <c r="J223" s="169"/>
      <c r="K223" s="170"/>
      <c r="L223" s="179"/>
      <c r="M223" s="180"/>
      <c r="N223" s="180"/>
      <c r="O223" s="180"/>
      <c r="P223" s="180"/>
      <c r="Q223" s="180"/>
      <c r="R223" s="180"/>
      <c r="S223" s="180"/>
      <c r="T223" s="180"/>
      <c r="U223" s="180"/>
      <c r="V223" s="180"/>
      <c r="W223" s="180"/>
      <c r="X223" s="180"/>
      <c r="Y223" s="181"/>
    </row>
    <row r="224" spans="4:25" x14ac:dyDescent="0.25">
      <c r="D224" s="168"/>
      <c r="E224" s="169"/>
      <c r="F224" s="169"/>
      <c r="G224" s="169"/>
      <c r="H224" s="169"/>
      <c r="I224" s="169"/>
      <c r="J224" s="169"/>
      <c r="K224" s="170"/>
      <c r="L224" s="179"/>
      <c r="M224" s="180"/>
      <c r="N224" s="180"/>
      <c r="O224" s="180"/>
      <c r="P224" s="180"/>
      <c r="Q224" s="180"/>
      <c r="R224" s="180"/>
      <c r="S224" s="180"/>
      <c r="T224" s="180"/>
      <c r="U224" s="180"/>
      <c r="V224" s="180"/>
      <c r="W224" s="180"/>
      <c r="X224" s="180"/>
      <c r="Y224" s="181"/>
    </row>
    <row r="225" spans="4:25" x14ac:dyDescent="0.25">
      <c r="D225" s="168"/>
      <c r="E225" s="169"/>
      <c r="F225" s="169"/>
      <c r="G225" s="169"/>
      <c r="H225" s="169"/>
      <c r="I225" s="169"/>
      <c r="J225" s="169"/>
      <c r="K225" s="170"/>
      <c r="L225" s="179"/>
      <c r="M225" s="180"/>
      <c r="N225" s="180"/>
      <c r="O225" s="180"/>
      <c r="P225" s="180"/>
      <c r="Q225" s="180"/>
      <c r="R225" s="180"/>
      <c r="S225" s="180"/>
      <c r="T225" s="180"/>
      <c r="U225" s="180"/>
      <c r="V225" s="180"/>
      <c r="W225" s="180"/>
      <c r="X225" s="180"/>
      <c r="Y225" s="181"/>
    </row>
    <row r="226" spans="4:25" x14ac:dyDescent="0.25">
      <c r="D226" s="168"/>
      <c r="E226" s="169"/>
      <c r="F226" s="169"/>
      <c r="G226" s="169"/>
      <c r="H226" s="169"/>
      <c r="I226" s="169"/>
      <c r="J226" s="169"/>
      <c r="K226" s="170"/>
      <c r="L226" s="179"/>
      <c r="M226" s="180"/>
      <c r="N226" s="180"/>
      <c r="O226" s="180"/>
      <c r="P226" s="180"/>
      <c r="Q226" s="180"/>
      <c r="R226" s="180"/>
      <c r="S226" s="180"/>
      <c r="T226" s="180"/>
      <c r="U226" s="180"/>
      <c r="V226" s="180"/>
      <c r="W226" s="180"/>
      <c r="X226" s="180"/>
      <c r="Y226" s="181"/>
    </row>
    <row r="227" spans="4:25" x14ac:dyDescent="0.25">
      <c r="D227" s="168"/>
      <c r="E227" s="169"/>
      <c r="F227" s="169"/>
      <c r="G227" s="169"/>
      <c r="H227" s="169"/>
      <c r="I227" s="169"/>
      <c r="J227" s="169"/>
      <c r="K227" s="170"/>
      <c r="L227" s="179"/>
      <c r="M227" s="180"/>
      <c r="N227" s="180"/>
      <c r="O227" s="180"/>
      <c r="P227" s="180"/>
      <c r="Q227" s="180"/>
      <c r="R227" s="180"/>
      <c r="S227" s="180"/>
      <c r="T227" s="180"/>
      <c r="U227" s="180"/>
      <c r="V227" s="180"/>
      <c r="W227" s="180"/>
      <c r="X227" s="180"/>
      <c r="Y227" s="181"/>
    </row>
    <row r="228" spans="4:25" x14ac:dyDescent="0.25">
      <c r="D228" s="168"/>
      <c r="E228" s="169"/>
      <c r="F228" s="169"/>
      <c r="G228" s="169"/>
      <c r="H228" s="169"/>
      <c r="I228" s="169"/>
      <c r="J228" s="169"/>
      <c r="K228" s="170"/>
      <c r="L228" s="179"/>
      <c r="M228" s="180"/>
      <c r="N228" s="180"/>
      <c r="O228" s="180"/>
      <c r="P228" s="180"/>
      <c r="Q228" s="180"/>
      <c r="R228" s="180"/>
      <c r="S228" s="180"/>
      <c r="T228" s="180"/>
      <c r="U228" s="180"/>
      <c r="V228" s="180"/>
      <c r="W228" s="180"/>
      <c r="X228" s="180"/>
      <c r="Y228" s="181"/>
    </row>
    <row r="229" spans="4:25" x14ac:dyDescent="0.25">
      <c r="D229" s="168"/>
      <c r="E229" s="169"/>
      <c r="F229" s="169"/>
      <c r="G229" s="169"/>
      <c r="H229" s="169"/>
      <c r="I229" s="169"/>
      <c r="J229" s="169"/>
      <c r="K229" s="170"/>
      <c r="L229" s="179"/>
      <c r="M229" s="180"/>
      <c r="N229" s="180"/>
      <c r="O229" s="180"/>
      <c r="P229" s="180"/>
      <c r="Q229" s="180"/>
      <c r="R229" s="180"/>
      <c r="S229" s="180"/>
      <c r="T229" s="180"/>
      <c r="U229" s="180"/>
      <c r="V229" s="180"/>
      <c r="W229" s="180"/>
      <c r="X229" s="180"/>
      <c r="Y229" s="181"/>
    </row>
    <row r="230" spans="4:25" ht="15.75" thickBot="1" x14ac:dyDescent="0.3">
      <c r="D230" s="171"/>
      <c r="E230" s="172"/>
      <c r="F230" s="172"/>
      <c r="G230" s="172"/>
      <c r="H230" s="172"/>
      <c r="I230" s="172"/>
      <c r="J230" s="172"/>
      <c r="K230" s="173"/>
      <c r="L230" s="182"/>
      <c r="M230" s="183"/>
      <c r="N230" s="183"/>
      <c r="O230" s="183"/>
      <c r="P230" s="183"/>
      <c r="Q230" s="183"/>
      <c r="R230" s="183"/>
      <c r="S230" s="183"/>
      <c r="T230" s="183"/>
      <c r="U230" s="183"/>
      <c r="V230" s="183"/>
      <c r="W230" s="183"/>
      <c r="X230" s="183"/>
      <c r="Y230" s="184"/>
    </row>
    <row r="231" spans="4:25" ht="15.75" thickBot="1" x14ac:dyDescent="0.3"/>
    <row r="232" spans="4:25" x14ac:dyDescent="0.25">
      <c r="D232" s="165" t="str">
        <f>IF(OR(M126="",O126=""),"8º LUGAR",IF(M126&lt;O126,E124,P124))</f>
        <v>Stars United</v>
      </c>
      <c r="E232" s="166"/>
      <c r="F232" s="166"/>
      <c r="G232" s="166"/>
      <c r="H232" s="166"/>
      <c r="I232" s="166"/>
      <c r="J232" s="166"/>
      <c r="K232" s="167"/>
      <c r="L232" s="176" t="s">
        <v>77</v>
      </c>
      <c r="M232" s="177"/>
      <c r="N232" s="177"/>
      <c r="O232" s="177"/>
      <c r="P232" s="177"/>
      <c r="Q232" s="177"/>
      <c r="R232" s="177"/>
      <c r="S232" s="177"/>
      <c r="T232" s="177"/>
      <c r="U232" s="177"/>
      <c r="V232" s="177"/>
      <c r="W232" s="177"/>
      <c r="X232" s="177"/>
      <c r="Y232" s="178"/>
    </row>
    <row r="233" spans="4:25" x14ac:dyDescent="0.25">
      <c r="D233" s="168"/>
      <c r="E233" s="169"/>
      <c r="F233" s="169"/>
      <c r="G233" s="169"/>
      <c r="H233" s="169"/>
      <c r="I233" s="169"/>
      <c r="J233" s="169"/>
      <c r="K233" s="170"/>
      <c r="L233" s="179"/>
      <c r="M233" s="180"/>
      <c r="N233" s="180"/>
      <c r="O233" s="180"/>
      <c r="P233" s="180"/>
      <c r="Q233" s="180"/>
      <c r="R233" s="180"/>
      <c r="S233" s="180"/>
      <c r="T233" s="180"/>
      <c r="U233" s="180"/>
      <c r="V233" s="180"/>
      <c r="W233" s="180"/>
      <c r="X233" s="180"/>
      <c r="Y233" s="181"/>
    </row>
    <row r="234" spans="4:25" x14ac:dyDescent="0.25">
      <c r="D234" s="168"/>
      <c r="E234" s="169"/>
      <c r="F234" s="169"/>
      <c r="G234" s="169"/>
      <c r="H234" s="169"/>
      <c r="I234" s="169"/>
      <c r="J234" s="169"/>
      <c r="K234" s="170"/>
      <c r="L234" s="179"/>
      <c r="M234" s="180"/>
      <c r="N234" s="180"/>
      <c r="O234" s="180"/>
      <c r="P234" s="180"/>
      <c r="Q234" s="180"/>
      <c r="R234" s="180"/>
      <c r="S234" s="180"/>
      <c r="T234" s="180"/>
      <c r="U234" s="180"/>
      <c r="V234" s="180"/>
      <c r="W234" s="180"/>
      <c r="X234" s="180"/>
      <c r="Y234" s="181"/>
    </row>
    <row r="235" spans="4:25" x14ac:dyDescent="0.25">
      <c r="D235" s="168"/>
      <c r="E235" s="169"/>
      <c r="F235" s="169"/>
      <c r="G235" s="169"/>
      <c r="H235" s="169"/>
      <c r="I235" s="169"/>
      <c r="J235" s="169"/>
      <c r="K235" s="170"/>
      <c r="L235" s="179"/>
      <c r="M235" s="180"/>
      <c r="N235" s="180"/>
      <c r="O235" s="180"/>
      <c r="P235" s="180"/>
      <c r="Q235" s="180"/>
      <c r="R235" s="180"/>
      <c r="S235" s="180"/>
      <c r="T235" s="180"/>
      <c r="U235" s="180"/>
      <c r="V235" s="180"/>
      <c r="W235" s="180"/>
      <c r="X235" s="180"/>
      <c r="Y235" s="181"/>
    </row>
    <row r="236" spans="4:25" x14ac:dyDescent="0.25">
      <c r="D236" s="168"/>
      <c r="E236" s="169"/>
      <c r="F236" s="169"/>
      <c r="G236" s="169"/>
      <c r="H236" s="169"/>
      <c r="I236" s="169"/>
      <c r="J236" s="169"/>
      <c r="K236" s="170"/>
      <c r="L236" s="179"/>
      <c r="M236" s="180"/>
      <c r="N236" s="180"/>
      <c r="O236" s="180"/>
      <c r="P236" s="180"/>
      <c r="Q236" s="180"/>
      <c r="R236" s="180"/>
      <c r="S236" s="180"/>
      <c r="T236" s="180"/>
      <c r="U236" s="180"/>
      <c r="V236" s="180"/>
      <c r="W236" s="180"/>
      <c r="X236" s="180"/>
      <c r="Y236" s="181"/>
    </row>
    <row r="237" spans="4:25" x14ac:dyDescent="0.25">
      <c r="D237" s="168"/>
      <c r="E237" s="169"/>
      <c r="F237" s="169"/>
      <c r="G237" s="169"/>
      <c r="H237" s="169"/>
      <c r="I237" s="169"/>
      <c r="J237" s="169"/>
      <c r="K237" s="170"/>
      <c r="L237" s="179"/>
      <c r="M237" s="180"/>
      <c r="N237" s="180"/>
      <c r="O237" s="180"/>
      <c r="P237" s="180"/>
      <c r="Q237" s="180"/>
      <c r="R237" s="180"/>
      <c r="S237" s="180"/>
      <c r="T237" s="180"/>
      <c r="U237" s="180"/>
      <c r="V237" s="180"/>
      <c r="W237" s="180"/>
      <c r="X237" s="180"/>
      <c r="Y237" s="181"/>
    </row>
    <row r="238" spans="4:25" x14ac:dyDescent="0.25">
      <c r="D238" s="168"/>
      <c r="E238" s="169"/>
      <c r="F238" s="169"/>
      <c r="G238" s="169"/>
      <c r="H238" s="169"/>
      <c r="I238" s="169"/>
      <c r="J238" s="169"/>
      <c r="K238" s="170"/>
      <c r="L238" s="179"/>
      <c r="M238" s="180"/>
      <c r="N238" s="180"/>
      <c r="O238" s="180"/>
      <c r="P238" s="180"/>
      <c r="Q238" s="180"/>
      <c r="R238" s="180"/>
      <c r="S238" s="180"/>
      <c r="T238" s="180"/>
      <c r="U238" s="180"/>
      <c r="V238" s="180"/>
      <c r="W238" s="180"/>
      <c r="X238" s="180"/>
      <c r="Y238" s="181"/>
    </row>
    <row r="239" spans="4:25" x14ac:dyDescent="0.25">
      <c r="D239" s="168"/>
      <c r="E239" s="169"/>
      <c r="F239" s="169"/>
      <c r="G239" s="169"/>
      <c r="H239" s="169"/>
      <c r="I239" s="169"/>
      <c r="J239" s="169"/>
      <c r="K239" s="170"/>
      <c r="L239" s="179"/>
      <c r="M239" s="180"/>
      <c r="N239" s="180"/>
      <c r="O239" s="180"/>
      <c r="P239" s="180"/>
      <c r="Q239" s="180"/>
      <c r="R239" s="180"/>
      <c r="S239" s="180"/>
      <c r="T239" s="180"/>
      <c r="U239" s="180"/>
      <c r="V239" s="180"/>
      <c r="W239" s="180"/>
      <c r="X239" s="180"/>
      <c r="Y239" s="181"/>
    </row>
    <row r="240" spans="4:25" x14ac:dyDescent="0.25">
      <c r="D240" s="168"/>
      <c r="E240" s="169"/>
      <c r="F240" s="169"/>
      <c r="G240" s="169"/>
      <c r="H240" s="169"/>
      <c r="I240" s="169"/>
      <c r="J240" s="169"/>
      <c r="K240" s="170"/>
      <c r="L240" s="179"/>
      <c r="M240" s="180"/>
      <c r="N240" s="180"/>
      <c r="O240" s="180"/>
      <c r="P240" s="180"/>
      <c r="Q240" s="180"/>
      <c r="R240" s="180"/>
      <c r="S240" s="180"/>
      <c r="T240" s="180"/>
      <c r="U240" s="180"/>
      <c r="V240" s="180"/>
      <c r="W240" s="180"/>
      <c r="X240" s="180"/>
      <c r="Y240" s="181"/>
    </row>
    <row r="241" spans="4:25" ht="15.75" thickBot="1" x14ac:dyDescent="0.3">
      <c r="D241" s="171"/>
      <c r="E241" s="172"/>
      <c r="F241" s="172"/>
      <c r="G241" s="172"/>
      <c r="H241" s="172"/>
      <c r="I241" s="172"/>
      <c r="J241" s="172"/>
      <c r="K241" s="173"/>
      <c r="L241" s="182"/>
      <c r="M241" s="183"/>
      <c r="N241" s="183"/>
      <c r="O241" s="183"/>
      <c r="P241" s="183"/>
      <c r="Q241" s="183"/>
      <c r="R241" s="183"/>
      <c r="S241" s="183"/>
      <c r="T241" s="183"/>
      <c r="U241" s="183"/>
      <c r="V241" s="183"/>
      <c r="W241" s="183"/>
      <c r="X241" s="183"/>
      <c r="Y241" s="184"/>
    </row>
  </sheetData>
  <sheetProtection password="D8CE" sheet="1" objects="1" scenarios="1"/>
  <mergeCells count="123">
    <mergeCell ref="D221:K230"/>
    <mergeCell ref="D232:K241"/>
    <mergeCell ref="L155:Y164"/>
    <mergeCell ref="L166:Y175"/>
    <mergeCell ref="L177:Y186"/>
    <mergeCell ref="L188:Y197"/>
    <mergeCell ref="L199:Y208"/>
    <mergeCell ref="L210:Y219"/>
    <mergeCell ref="L221:Y230"/>
    <mergeCell ref="L232:Y241"/>
    <mergeCell ref="D199:K208"/>
    <mergeCell ref="D210:K219"/>
    <mergeCell ref="D177:K186"/>
    <mergeCell ref="D188:K197"/>
    <mergeCell ref="D151:D152"/>
    <mergeCell ref="E151:L152"/>
    <mergeCell ref="P151:Y152"/>
    <mergeCell ref="P153:Y153"/>
    <mergeCell ref="D155:K164"/>
    <mergeCell ref="D166:K175"/>
    <mergeCell ref="P102:Y102"/>
    <mergeCell ref="D103:D104"/>
    <mergeCell ref="E103:L104"/>
    <mergeCell ref="P103:Y104"/>
    <mergeCell ref="P105:Y105"/>
    <mergeCell ref="P124:Y125"/>
    <mergeCell ref="P126:Y126"/>
    <mergeCell ref="D128:Y130"/>
    <mergeCell ref="K131:R132"/>
    <mergeCell ref="D133:D134"/>
    <mergeCell ref="E133:L134"/>
    <mergeCell ref="P133:Y134"/>
    <mergeCell ref="K149:R150"/>
    <mergeCell ref="D142:D143"/>
    <mergeCell ref="E142:L143"/>
    <mergeCell ref="P142:Y143"/>
    <mergeCell ref="P144:Y144"/>
    <mergeCell ref="D146:Y148"/>
    <mergeCell ref="D95:Y97"/>
    <mergeCell ref="K98:R99"/>
    <mergeCell ref="D100:D101"/>
    <mergeCell ref="E100:L101"/>
    <mergeCell ref="P100:Y101"/>
    <mergeCell ref="K140:R141"/>
    <mergeCell ref="D107:Y109"/>
    <mergeCell ref="K110:R111"/>
    <mergeCell ref="D112:D113"/>
    <mergeCell ref="E112:L113"/>
    <mergeCell ref="P112:Y113"/>
    <mergeCell ref="P114:Y114"/>
    <mergeCell ref="D115:D116"/>
    <mergeCell ref="E115:L116"/>
    <mergeCell ref="P115:Y116"/>
    <mergeCell ref="P117:Y117"/>
    <mergeCell ref="D137:Y139"/>
    <mergeCell ref="D119:Y121"/>
    <mergeCell ref="K122:R123"/>
    <mergeCell ref="D124:D125"/>
    <mergeCell ref="E124:L125"/>
    <mergeCell ref="P135:Y135"/>
    <mergeCell ref="D93:E93"/>
    <mergeCell ref="I93:P93"/>
    <mergeCell ref="D80:E80"/>
    <mergeCell ref="I80:P80"/>
    <mergeCell ref="D81:E81"/>
    <mergeCell ref="I81:P81"/>
    <mergeCell ref="D83:P84"/>
    <mergeCell ref="D86:E86"/>
    <mergeCell ref="I86:P86"/>
    <mergeCell ref="D87:E87"/>
    <mergeCell ref="I87:P87"/>
    <mergeCell ref="D89:P90"/>
    <mergeCell ref="D92:E92"/>
    <mergeCell ref="I92:P92"/>
    <mergeCell ref="D74:E74"/>
    <mergeCell ref="I74:P74"/>
    <mergeCell ref="D75:E75"/>
    <mergeCell ref="I75:P75"/>
    <mergeCell ref="D77:P78"/>
    <mergeCell ref="D51:O52"/>
    <mergeCell ref="D59:P60"/>
    <mergeCell ref="D62:E62"/>
    <mergeCell ref="I62:P62"/>
    <mergeCell ref="D71:P72"/>
    <mergeCell ref="D63:E63"/>
    <mergeCell ref="I63:P63"/>
    <mergeCell ref="D65:P66"/>
    <mergeCell ref="D68:E68"/>
    <mergeCell ref="I68:P68"/>
    <mergeCell ref="D69:E69"/>
    <mergeCell ref="I69:P69"/>
    <mergeCell ref="D49:E49"/>
    <mergeCell ref="I49:P49"/>
    <mergeCell ref="D36:E36"/>
    <mergeCell ref="I36:P36"/>
    <mergeCell ref="D37:E37"/>
    <mergeCell ref="I37:P37"/>
    <mergeCell ref="D39:P40"/>
    <mergeCell ref="D42:E42"/>
    <mergeCell ref="I42:P42"/>
    <mergeCell ref="D43:E43"/>
    <mergeCell ref="I43:P43"/>
    <mergeCell ref="D45:P46"/>
    <mergeCell ref="D48:E48"/>
    <mergeCell ref="I48:P48"/>
    <mergeCell ref="B2:Q4"/>
    <mergeCell ref="D7:O8"/>
    <mergeCell ref="D15:P16"/>
    <mergeCell ref="D18:E18"/>
    <mergeCell ref="I18:P18"/>
    <mergeCell ref="D33:P34"/>
    <mergeCell ref="D19:E19"/>
    <mergeCell ref="I19:P19"/>
    <mergeCell ref="D21:P22"/>
    <mergeCell ref="D24:E24"/>
    <mergeCell ref="I24:P24"/>
    <mergeCell ref="D25:E25"/>
    <mergeCell ref="I25:P25"/>
    <mergeCell ref="D27:P28"/>
    <mergeCell ref="D30:E30"/>
    <mergeCell ref="I30:P30"/>
    <mergeCell ref="D31:E31"/>
    <mergeCell ref="I31:P31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2014-07-25T21:25:33Z</dcterms:created>
  <dcterms:modified xsi:type="dcterms:W3CDTF">2015-11-30T10:45:28Z</dcterms:modified>
</cp:coreProperties>
</file>