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5315" windowHeight="799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O325" i="1" l="1"/>
  <c r="M325" i="1"/>
  <c r="O316" i="1"/>
  <c r="M316" i="1"/>
  <c r="O307" i="1"/>
  <c r="M307" i="1"/>
  <c r="O298" i="1"/>
  <c r="M298" i="1"/>
  <c r="O289" i="1"/>
  <c r="M289" i="1"/>
  <c r="AI169" i="1" l="1"/>
  <c r="AH169" i="1"/>
  <c r="AI170" i="1"/>
  <c r="Y169" i="1"/>
  <c r="AF169" i="1"/>
  <c r="AF172" i="1"/>
  <c r="AF171" i="1"/>
  <c r="AF170" i="1"/>
  <c r="P323" i="1" l="1"/>
  <c r="E323" i="1"/>
  <c r="P314" i="1"/>
  <c r="E314" i="1"/>
  <c r="O280" i="1" l="1"/>
  <c r="M280" i="1"/>
  <c r="O277" i="1"/>
  <c r="M277" i="1"/>
  <c r="O268" i="1"/>
  <c r="M268" i="1"/>
  <c r="O265" i="1"/>
  <c r="M265" i="1"/>
  <c r="O256" i="1"/>
  <c r="M256" i="1"/>
  <c r="O253" i="1"/>
  <c r="M253" i="1"/>
  <c r="E278" i="1" l="1"/>
  <c r="O244" i="1" l="1"/>
  <c r="P278" i="1" s="1"/>
  <c r="M244" i="1"/>
  <c r="O241" i="1"/>
  <c r="M241" i="1"/>
  <c r="O238" i="1"/>
  <c r="M238" i="1"/>
  <c r="O235" i="1"/>
  <c r="M235" i="1"/>
  <c r="O217" i="1"/>
  <c r="O226" i="1"/>
  <c r="M226" i="1"/>
  <c r="O223" i="1"/>
  <c r="M223" i="1"/>
  <c r="O220" i="1"/>
  <c r="M220" i="1"/>
  <c r="M217" i="1"/>
  <c r="E263" i="1" l="1"/>
  <c r="E275" i="1"/>
  <c r="P263" i="1"/>
  <c r="P275" i="1"/>
  <c r="Q63" i="1"/>
  <c r="P251" i="1" l="1"/>
  <c r="P254" i="1"/>
  <c r="P266" i="1"/>
  <c r="P287" i="1"/>
  <c r="P305" i="1"/>
  <c r="D393" i="1"/>
  <c r="D426" i="1"/>
  <c r="D382" i="1"/>
  <c r="D349" i="1"/>
  <c r="D338" i="1"/>
  <c r="D404" i="1"/>
  <c r="E251" i="1"/>
  <c r="E254" i="1"/>
  <c r="E266" i="1"/>
  <c r="E287" i="1"/>
  <c r="E305" i="1"/>
  <c r="D415" i="1"/>
  <c r="D371" i="1"/>
  <c r="D360" i="1"/>
  <c r="D327" i="1"/>
  <c r="E296" i="1"/>
  <c r="P296" i="1"/>
  <c r="AD172" i="1" l="1"/>
  <c r="AC172" i="1"/>
  <c r="W172" i="1"/>
  <c r="AD171" i="1"/>
  <c r="AC171" i="1"/>
  <c r="W171" i="1"/>
  <c r="AD170" i="1"/>
  <c r="AC170" i="1"/>
  <c r="W170" i="1"/>
  <c r="AD169" i="1"/>
  <c r="AC169" i="1"/>
  <c r="W169" i="1"/>
  <c r="AD121" i="1"/>
  <c r="AC121" i="1"/>
  <c r="W121" i="1"/>
  <c r="AD120" i="1"/>
  <c r="AC120" i="1"/>
  <c r="W120" i="1"/>
  <c r="AD119" i="1"/>
  <c r="AC119" i="1"/>
  <c r="W119" i="1"/>
  <c r="AD118" i="1"/>
  <c r="AC118" i="1"/>
  <c r="W118" i="1"/>
  <c r="AD70" i="1"/>
  <c r="AC70" i="1"/>
  <c r="W70" i="1"/>
  <c r="AD69" i="1"/>
  <c r="AC69" i="1"/>
  <c r="W69" i="1"/>
  <c r="AD68" i="1"/>
  <c r="AC68" i="1"/>
  <c r="W68" i="1"/>
  <c r="AD67" i="1"/>
  <c r="AC67" i="1"/>
  <c r="W67" i="1"/>
  <c r="W16" i="1"/>
  <c r="AD19" i="1"/>
  <c r="AC19" i="1"/>
  <c r="W19" i="1"/>
  <c r="AD18" i="1"/>
  <c r="AC18" i="1"/>
  <c r="W18" i="1"/>
  <c r="AD17" i="1"/>
  <c r="AC17" i="1"/>
  <c r="W17" i="1"/>
  <c r="AD16" i="1"/>
  <c r="AC16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C200" i="1"/>
  <c r="Q199" i="1"/>
  <c r="C199" i="1"/>
  <c r="Q198" i="1"/>
  <c r="C198" i="1"/>
  <c r="Q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C188" i="1"/>
  <c r="Q187" i="1"/>
  <c r="C187" i="1"/>
  <c r="Q186" i="1"/>
  <c r="C186" i="1"/>
  <c r="Q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C176" i="1"/>
  <c r="Q175" i="1"/>
  <c r="C175" i="1"/>
  <c r="Q174" i="1"/>
  <c r="C174" i="1"/>
  <c r="Q173" i="1"/>
  <c r="C173" i="1"/>
  <c r="Q167" i="1"/>
  <c r="C167" i="1"/>
  <c r="Q166" i="1"/>
  <c r="C166" i="1"/>
  <c r="Q165" i="1"/>
  <c r="C165" i="1"/>
  <c r="Q157" i="1"/>
  <c r="I157" i="1"/>
  <c r="D157" i="1"/>
  <c r="C157" i="1"/>
  <c r="Q156" i="1"/>
  <c r="I156" i="1"/>
  <c r="D156" i="1"/>
  <c r="C156" i="1"/>
  <c r="Q155" i="1"/>
  <c r="C155" i="1"/>
  <c r="Q154" i="1"/>
  <c r="C154" i="1"/>
  <c r="Q153" i="1"/>
  <c r="C153" i="1"/>
  <c r="Q152" i="1"/>
  <c r="C152" i="1"/>
  <c r="Q151" i="1"/>
  <c r="I151" i="1"/>
  <c r="D151" i="1"/>
  <c r="C151" i="1"/>
  <c r="Q150" i="1"/>
  <c r="I150" i="1"/>
  <c r="D150" i="1"/>
  <c r="C150" i="1"/>
  <c r="Q149" i="1"/>
  <c r="C149" i="1"/>
  <c r="Q148" i="1"/>
  <c r="C148" i="1"/>
  <c r="Q147" i="1"/>
  <c r="C147" i="1"/>
  <c r="Q146" i="1"/>
  <c r="C146" i="1"/>
  <c r="Q145" i="1"/>
  <c r="I145" i="1"/>
  <c r="D145" i="1"/>
  <c r="C145" i="1"/>
  <c r="Q144" i="1"/>
  <c r="I144" i="1"/>
  <c r="D144" i="1"/>
  <c r="C144" i="1"/>
  <c r="Q143" i="1"/>
  <c r="C143" i="1"/>
  <c r="Q142" i="1"/>
  <c r="C142" i="1"/>
  <c r="Q141" i="1"/>
  <c r="C141" i="1"/>
  <c r="Q140" i="1"/>
  <c r="C140" i="1"/>
  <c r="Q139" i="1"/>
  <c r="I139" i="1"/>
  <c r="D139" i="1"/>
  <c r="C139" i="1"/>
  <c r="Q138" i="1"/>
  <c r="I138" i="1"/>
  <c r="D138" i="1"/>
  <c r="C138" i="1"/>
  <c r="Q137" i="1"/>
  <c r="C137" i="1"/>
  <c r="Q136" i="1"/>
  <c r="C136" i="1"/>
  <c r="Q135" i="1"/>
  <c r="C135" i="1"/>
  <c r="Q134" i="1"/>
  <c r="C134" i="1"/>
  <c r="Q133" i="1"/>
  <c r="I133" i="1"/>
  <c r="D133" i="1"/>
  <c r="C133" i="1"/>
  <c r="Q132" i="1"/>
  <c r="I132" i="1"/>
  <c r="D132" i="1"/>
  <c r="C132" i="1"/>
  <c r="Q131" i="1"/>
  <c r="C131" i="1"/>
  <c r="Q130" i="1"/>
  <c r="C130" i="1"/>
  <c r="Q129" i="1"/>
  <c r="C129" i="1"/>
  <c r="Q128" i="1"/>
  <c r="C128" i="1"/>
  <c r="Q127" i="1"/>
  <c r="I127" i="1"/>
  <c r="D127" i="1"/>
  <c r="C127" i="1"/>
  <c r="Q126" i="1"/>
  <c r="I126" i="1"/>
  <c r="D126" i="1"/>
  <c r="C126" i="1"/>
  <c r="Q125" i="1"/>
  <c r="C125" i="1"/>
  <c r="Q124" i="1"/>
  <c r="C124" i="1"/>
  <c r="Q123" i="1"/>
  <c r="C123" i="1"/>
  <c r="Q122" i="1"/>
  <c r="Q116" i="1"/>
  <c r="Q115" i="1"/>
  <c r="Q114" i="1"/>
  <c r="C114" i="1"/>
  <c r="Q106" i="1"/>
  <c r="I106" i="1"/>
  <c r="D106" i="1"/>
  <c r="C106" i="1"/>
  <c r="Q105" i="1"/>
  <c r="I105" i="1"/>
  <c r="D105" i="1"/>
  <c r="C105" i="1"/>
  <c r="Q104" i="1"/>
  <c r="C104" i="1"/>
  <c r="Q103" i="1"/>
  <c r="C103" i="1"/>
  <c r="Q102" i="1"/>
  <c r="C102" i="1"/>
  <c r="Q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C92" i="1"/>
  <c r="Q91" i="1"/>
  <c r="C91" i="1"/>
  <c r="Q90" i="1"/>
  <c r="C90" i="1"/>
  <c r="Q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C80" i="1"/>
  <c r="Q79" i="1"/>
  <c r="C79" i="1"/>
  <c r="Q78" i="1"/>
  <c r="C78" i="1"/>
  <c r="Q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65" i="1"/>
  <c r="C65" i="1"/>
  <c r="Q64" i="1"/>
  <c r="C64" i="1"/>
  <c r="C63" i="1"/>
  <c r="Q55" i="1"/>
  <c r="I55" i="1"/>
  <c r="D55" i="1"/>
  <c r="C55" i="1"/>
  <c r="Q54" i="1"/>
  <c r="I54" i="1"/>
  <c r="D54" i="1"/>
  <c r="C54" i="1"/>
  <c r="Q53" i="1"/>
  <c r="C53" i="1"/>
  <c r="Q52" i="1"/>
  <c r="C52" i="1"/>
  <c r="Q51" i="1"/>
  <c r="C51" i="1"/>
  <c r="Q50" i="1"/>
  <c r="C50" i="1"/>
  <c r="Q49" i="1"/>
  <c r="I49" i="1"/>
  <c r="D49" i="1"/>
  <c r="C49" i="1"/>
  <c r="Q48" i="1"/>
  <c r="I48" i="1"/>
  <c r="D48" i="1"/>
  <c r="C48" i="1"/>
  <c r="Q47" i="1"/>
  <c r="C47" i="1"/>
  <c r="Q46" i="1"/>
  <c r="C46" i="1"/>
  <c r="Q45" i="1"/>
  <c r="C45" i="1"/>
  <c r="Q44" i="1"/>
  <c r="C44" i="1"/>
  <c r="Q43" i="1"/>
  <c r="I43" i="1"/>
  <c r="D43" i="1"/>
  <c r="C43" i="1"/>
  <c r="Q42" i="1"/>
  <c r="I42" i="1"/>
  <c r="D42" i="1"/>
  <c r="C42" i="1"/>
  <c r="Q41" i="1"/>
  <c r="C41" i="1"/>
  <c r="Q40" i="1"/>
  <c r="C40" i="1"/>
  <c r="Q39" i="1"/>
  <c r="C39" i="1"/>
  <c r="Q38" i="1"/>
  <c r="C38" i="1"/>
  <c r="Q37" i="1"/>
  <c r="I37" i="1"/>
  <c r="D37" i="1"/>
  <c r="C37" i="1"/>
  <c r="Q36" i="1"/>
  <c r="I36" i="1"/>
  <c r="D36" i="1"/>
  <c r="C36" i="1"/>
  <c r="Q35" i="1"/>
  <c r="C35" i="1"/>
  <c r="Q34" i="1"/>
  <c r="C34" i="1"/>
  <c r="Q33" i="1"/>
  <c r="C33" i="1"/>
  <c r="Q32" i="1"/>
  <c r="C32" i="1"/>
  <c r="Q31" i="1"/>
  <c r="I31" i="1"/>
  <c r="D31" i="1"/>
  <c r="C31" i="1"/>
  <c r="Q30" i="1"/>
  <c r="I30" i="1"/>
  <c r="D30" i="1"/>
  <c r="C30" i="1"/>
  <c r="Q29" i="1"/>
  <c r="C29" i="1"/>
  <c r="Q28" i="1"/>
  <c r="C28" i="1"/>
  <c r="Q27" i="1"/>
  <c r="C27" i="1"/>
  <c r="Q26" i="1"/>
  <c r="C26" i="1"/>
  <c r="Q25" i="1"/>
  <c r="I25" i="1"/>
  <c r="D25" i="1"/>
  <c r="C25" i="1"/>
  <c r="Q24" i="1"/>
  <c r="I24" i="1"/>
  <c r="D24" i="1"/>
  <c r="C24" i="1"/>
  <c r="X17" i="1" l="1"/>
  <c r="AE67" i="1"/>
  <c r="AE18" i="1"/>
  <c r="AE121" i="1"/>
  <c r="AE169" i="1"/>
  <c r="AE70" i="1"/>
  <c r="AE19" i="1"/>
  <c r="AE120" i="1"/>
  <c r="AE171" i="1"/>
  <c r="AE172" i="1"/>
  <c r="AE118" i="1"/>
  <c r="AE69" i="1"/>
  <c r="AE17" i="1"/>
  <c r="AG17" i="1" s="1"/>
  <c r="AE16" i="1"/>
  <c r="AE68" i="1"/>
  <c r="AE119" i="1"/>
  <c r="AE170" i="1"/>
  <c r="AB19" i="1"/>
  <c r="X19" i="1"/>
  <c r="AG19" i="1" s="1"/>
  <c r="X18" i="1"/>
  <c r="X16" i="1"/>
  <c r="AB70" i="1"/>
  <c r="X70" i="1"/>
  <c r="X68" i="1"/>
  <c r="X69" i="1"/>
  <c r="X67" i="1"/>
  <c r="AG67" i="1" s="1"/>
  <c r="AB121" i="1"/>
  <c r="X121" i="1"/>
  <c r="AG121" i="1" s="1"/>
  <c r="X119" i="1"/>
  <c r="X120" i="1"/>
  <c r="X118" i="1"/>
  <c r="AG118" i="1" s="1"/>
  <c r="AB172" i="1"/>
  <c r="X172" i="1"/>
  <c r="X170" i="1"/>
  <c r="X171" i="1"/>
  <c r="X169" i="1"/>
  <c r="Z169" i="1"/>
  <c r="AA169" i="1"/>
  <c r="AB169" i="1"/>
  <c r="Y170" i="1"/>
  <c r="Z170" i="1"/>
  <c r="AA170" i="1"/>
  <c r="AB170" i="1"/>
  <c r="Y171" i="1"/>
  <c r="Z171" i="1"/>
  <c r="AA171" i="1"/>
  <c r="AB171" i="1"/>
  <c r="Y172" i="1"/>
  <c r="Z172" i="1"/>
  <c r="AA172" i="1"/>
  <c r="Y118" i="1"/>
  <c r="Z118" i="1"/>
  <c r="AA118" i="1"/>
  <c r="AB118" i="1"/>
  <c r="Y119" i="1"/>
  <c r="Z119" i="1"/>
  <c r="AA119" i="1"/>
  <c r="AB119" i="1"/>
  <c r="Y120" i="1"/>
  <c r="Z120" i="1"/>
  <c r="AA120" i="1"/>
  <c r="AB120" i="1"/>
  <c r="Y121" i="1"/>
  <c r="Z121" i="1"/>
  <c r="AA121" i="1"/>
  <c r="Y67" i="1"/>
  <c r="Z67" i="1"/>
  <c r="AA67" i="1"/>
  <c r="AB67" i="1"/>
  <c r="Y68" i="1"/>
  <c r="Z68" i="1"/>
  <c r="AA68" i="1"/>
  <c r="AB68" i="1"/>
  <c r="Y69" i="1"/>
  <c r="Z69" i="1"/>
  <c r="AA69" i="1"/>
  <c r="AB69" i="1"/>
  <c r="Y70" i="1"/>
  <c r="Z70" i="1"/>
  <c r="AA70" i="1"/>
  <c r="Y16" i="1"/>
  <c r="Z16" i="1"/>
  <c r="AA16" i="1"/>
  <c r="AB16" i="1"/>
  <c r="Y17" i="1"/>
  <c r="Z17" i="1"/>
  <c r="AA17" i="1"/>
  <c r="AB17" i="1"/>
  <c r="Y18" i="1"/>
  <c r="Z18" i="1"/>
  <c r="AA18" i="1"/>
  <c r="AB18" i="1"/>
  <c r="Y19" i="1"/>
  <c r="Z19" i="1"/>
  <c r="AA19" i="1"/>
  <c r="AG68" i="1" l="1"/>
  <c r="AG18" i="1"/>
  <c r="AG16" i="1"/>
  <c r="AG70" i="1"/>
  <c r="AG119" i="1"/>
  <c r="AG69" i="1"/>
  <c r="AG120" i="1"/>
  <c r="AG169" i="1"/>
  <c r="AG171" i="1"/>
  <c r="AG172" i="1"/>
  <c r="AG170" i="1"/>
  <c r="AF118" i="1"/>
  <c r="AF120" i="1"/>
  <c r="AF119" i="1"/>
  <c r="AF121" i="1"/>
  <c r="AF67" i="1"/>
  <c r="AF69" i="1"/>
  <c r="AF68" i="1"/>
  <c r="AF70" i="1"/>
  <c r="AF18" i="1"/>
  <c r="AF17" i="1"/>
  <c r="AF16" i="1"/>
  <c r="AF19" i="1"/>
  <c r="AH120" i="1" l="1"/>
  <c r="AI120" i="1" s="1"/>
  <c r="AH16" i="1"/>
  <c r="AI16" i="1" s="1"/>
  <c r="AH17" i="1"/>
  <c r="AI17" i="1" s="1"/>
  <c r="AH118" i="1"/>
  <c r="AI118" i="1" s="1"/>
  <c r="AH172" i="1"/>
  <c r="AI172" i="1" s="1"/>
  <c r="AH171" i="1"/>
  <c r="AI171" i="1" s="1"/>
  <c r="AH170" i="1"/>
  <c r="AH121" i="1"/>
  <c r="AI121" i="1" s="1"/>
  <c r="AH119" i="1"/>
  <c r="AI119" i="1" s="1"/>
  <c r="AH70" i="1"/>
  <c r="AI70" i="1" s="1"/>
  <c r="AH69" i="1"/>
  <c r="AI69" i="1" s="1"/>
  <c r="AH68" i="1"/>
  <c r="AI68" i="1" s="1"/>
  <c r="AH67" i="1"/>
  <c r="AI67" i="1" s="1"/>
  <c r="AH19" i="1"/>
  <c r="AI19" i="1" s="1"/>
  <c r="AH18" i="1"/>
  <c r="AI18" i="1" s="1"/>
  <c r="O169" i="1" l="1"/>
  <c r="N169" i="1"/>
  <c r="M169" i="1"/>
  <c r="L169" i="1"/>
  <c r="K169" i="1"/>
  <c r="J169" i="1"/>
  <c r="I169" i="1"/>
  <c r="H169" i="1"/>
  <c r="G169" i="1"/>
  <c r="F169" i="1"/>
  <c r="E169" i="1"/>
  <c r="E242" i="1" s="1"/>
  <c r="O170" i="1"/>
  <c r="N170" i="1"/>
  <c r="M170" i="1"/>
  <c r="L170" i="1"/>
  <c r="K170" i="1"/>
  <c r="J170" i="1"/>
  <c r="I170" i="1"/>
  <c r="H170" i="1"/>
  <c r="G170" i="1"/>
  <c r="F170" i="1"/>
  <c r="E170" i="1"/>
  <c r="P233" i="1" s="1"/>
  <c r="O171" i="1"/>
  <c r="N171" i="1"/>
  <c r="M171" i="1"/>
  <c r="L171" i="1"/>
  <c r="K171" i="1"/>
  <c r="J171" i="1"/>
  <c r="I171" i="1"/>
  <c r="H171" i="1"/>
  <c r="G171" i="1"/>
  <c r="F171" i="1"/>
  <c r="E171" i="1"/>
  <c r="E224" i="1" s="1"/>
  <c r="O172" i="1"/>
  <c r="N172" i="1"/>
  <c r="M172" i="1"/>
  <c r="L172" i="1"/>
  <c r="K172" i="1"/>
  <c r="J172" i="1"/>
  <c r="I172" i="1"/>
  <c r="H172" i="1"/>
  <c r="G172" i="1"/>
  <c r="F172" i="1"/>
  <c r="E172" i="1"/>
  <c r="P215" i="1" s="1"/>
  <c r="O118" i="1"/>
  <c r="N118" i="1"/>
  <c r="M118" i="1"/>
  <c r="L118" i="1"/>
  <c r="K118" i="1"/>
  <c r="J118" i="1"/>
  <c r="I118" i="1"/>
  <c r="H118" i="1"/>
  <c r="G118" i="1"/>
  <c r="F118" i="1"/>
  <c r="E118" i="1"/>
  <c r="E239" i="1" s="1"/>
  <c r="O119" i="1"/>
  <c r="N119" i="1"/>
  <c r="M119" i="1"/>
  <c r="L119" i="1"/>
  <c r="K119" i="1"/>
  <c r="J119" i="1"/>
  <c r="I119" i="1"/>
  <c r="H119" i="1"/>
  <c r="G119" i="1"/>
  <c r="F119" i="1"/>
  <c r="E119" i="1"/>
  <c r="P236" i="1" s="1"/>
  <c r="O120" i="1"/>
  <c r="N120" i="1"/>
  <c r="M120" i="1"/>
  <c r="L120" i="1"/>
  <c r="K120" i="1"/>
  <c r="J120" i="1"/>
  <c r="I120" i="1"/>
  <c r="H120" i="1"/>
  <c r="G120" i="1"/>
  <c r="F120" i="1"/>
  <c r="E120" i="1"/>
  <c r="E221" i="1" s="1"/>
  <c r="O121" i="1"/>
  <c r="N121" i="1"/>
  <c r="M121" i="1"/>
  <c r="L121" i="1"/>
  <c r="K121" i="1"/>
  <c r="J121" i="1"/>
  <c r="I121" i="1"/>
  <c r="H121" i="1"/>
  <c r="G121" i="1"/>
  <c r="F121" i="1"/>
  <c r="E121" i="1"/>
  <c r="O67" i="1"/>
  <c r="N67" i="1"/>
  <c r="M67" i="1"/>
  <c r="L67" i="1"/>
  <c r="K67" i="1"/>
  <c r="J67" i="1"/>
  <c r="I67" i="1"/>
  <c r="H67" i="1"/>
  <c r="G67" i="1"/>
  <c r="F67" i="1"/>
  <c r="E67" i="1"/>
  <c r="E236" i="1" s="1"/>
  <c r="O68" i="1"/>
  <c r="N68" i="1"/>
  <c r="M68" i="1"/>
  <c r="L68" i="1"/>
  <c r="K68" i="1"/>
  <c r="J68" i="1"/>
  <c r="I68" i="1"/>
  <c r="H68" i="1"/>
  <c r="G68" i="1"/>
  <c r="F68" i="1"/>
  <c r="E68" i="1"/>
  <c r="P239" i="1" s="1"/>
  <c r="O69" i="1"/>
  <c r="N69" i="1"/>
  <c r="M69" i="1"/>
  <c r="L69" i="1"/>
  <c r="K69" i="1"/>
  <c r="J69" i="1"/>
  <c r="I69" i="1"/>
  <c r="H69" i="1"/>
  <c r="G69" i="1"/>
  <c r="F69" i="1"/>
  <c r="E69" i="1"/>
  <c r="E218" i="1" s="1"/>
  <c r="O70" i="1"/>
  <c r="N70" i="1"/>
  <c r="M70" i="1"/>
  <c r="L70" i="1"/>
  <c r="K70" i="1"/>
  <c r="J70" i="1"/>
  <c r="I70" i="1"/>
  <c r="H70" i="1"/>
  <c r="G70" i="1"/>
  <c r="F70" i="1"/>
  <c r="E70" i="1"/>
  <c r="P221" i="1" s="1"/>
  <c r="O16" i="1"/>
  <c r="N16" i="1"/>
  <c r="M16" i="1"/>
  <c r="L16" i="1"/>
  <c r="K16" i="1"/>
  <c r="J16" i="1"/>
  <c r="I16" i="1"/>
  <c r="H16" i="1"/>
  <c r="G16" i="1"/>
  <c r="F16" i="1"/>
  <c r="E16" i="1"/>
  <c r="E233" i="1" s="1"/>
  <c r="O17" i="1"/>
  <c r="N17" i="1"/>
  <c r="M17" i="1"/>
  <c r="L17" i="1"/>
  <c r="K17" i="1"/>
  <c r="J17" i="1"/>
  <c r="I17" i="1"/>
  <c r="H17" i="1"/>
  <c r="G17" i="1"/>
  <c r="F17" i="1"/>
  <c r="E17" i="1"/>
  <c r="P242" i="1" s="1"/>
  <c r="O18" i="1"/>
  <c r="N18" i="1"/>
  <c r="M18" i="1"/>
  <c r="L18" i="1"/>
  <c r="K18" i="1"/>
  <c r="J18" i="1"/>
  <c r="I18" i="1"/>
  <c r="H18" i="1"/>
  <c r="G18" i="1"/>
  <c r="F18" i="1"/>
  <c r="E18" i="1"/>
  <c r="E215" i="1" s="1"/>
  <c r="O19" i="1"/>
  <c r="N19" i="1"/>
  <c r="M19" i="1"/>
  <c r="L19" i="1"/>
  <c r="K19" i="1"/>
  <c r="J19" i="1"/>
  <c r="I19" i="1"/>
  <c r="H19" i="1"/>
  <c r="G19" i="1"/>
  <c r="F19" i="1"/>
  <c r="E19" i="1"/>
  <c r="P224" i="1" s="1"/>
</calcChain>
</file>

<file path=xl/sharedStrings.xml><?xml version="1.0" encoding="utf-8"?>
<sst xmlns="http://schemas.openxmlformats.org/spreadsheetml/2006/main" count="353" uniqueCount="104">
  <si>
    <t>TAÇA LIBERTADORES - 2015</t>
  </si>
  <si>
    <t>GRUPO A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</si>
  <si>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</si>
  <si>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</si>
  <si>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</si>
  <si>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</si>
  <si>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</si>
  <si>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</si>
  <si>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</si>
  <si>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</si>
  <si>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</si>
  <si>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</si>
  <si>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</si>
  <si>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</si>
  <si>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</si>
  <si>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</si>
  <si>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</si>
  <si>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</si>
  <si>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</si>
  <si>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</si>
  <si>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</si>
  <si>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</si>
  <si>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</si>
  <si>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</si>
  <si>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</si>
  <si>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</si>
  <si>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</si>
  <si>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</si>
  <si>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</si>
  <si>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B</t>
  </si>
  <si>
    <t>GRUPO C</t>
  </si>
  <si>
    <t>GRUPO D</t>
  </si>
  <si>
    <t>QUARTAS DE FINAIS</t>
  </si>
  <si>
    <t>RODADAS #22 e 23</t>
  </si>
  <si>
    <t>J1</t>
  </si>
  <si>
    <t>X</t>
  </si>
  <si>
    <t>J2</t>
  </si>
  <si>
    <t>J3</t>
  </si>
  <si>
    <t>J4</t>
  </si>
  <si>
    <t>SEMI-FINAL</t>
  </si>
  <si>
    <t>RODADAS #24 e 25</t>
  </si>
  <si>
    <t>J5</t>
  </si>
  <si>
    <t>J6</t>
  </si>
  <si>
    <t>DISPUTA DO 3º LUGAR</t>
  </si>
  <si>
    <t>RODADAS #26 e 27</t>
  </si>
  <si>
    <t>J7</t>
  </si>
  <si>
    <t>FINAL</t>
  </si>
  <si>
    <t>J8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</si>
  <si>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</si>
  <si>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</si>
  <si>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</si>
  <si>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</si>
  <si>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</si>
  <si>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</si>
  <si>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</si>
  <si>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</si>
  <si>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</si>
  <si>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</si>
  <si>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</si>
  <si>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</si>
  <si>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</si>
  <si>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</si>
  <si>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DISPUTA DO 9ª LUGAR</t>
  </si>
  <si>
    <t>DISPUTA DO 9º LUGAR</t>
  </si>
  <si>
    <t>J9</t>
  </si>
  <si>
    <t>J10</t>
  </si>
  <si>
    <t>DISPUTA DO 5º LUGAR</t>
  </si>
  <si>
    <t>J11</t>
  </si>
  <si>
    <t>J12</t>
  </si>
  <si>
    <t>J13</t>
  </si>
  <si>
    <t>J14</t>
  </si>
  <si>
    <t>J15</t>
  </si>
  <si>
    <t>DISPUTA DO 7º LUGAR</t>
  </si>
  <si>
    <t>J16</t>
  </si>
  <si>
    <t>J17</t>
  </si>
  <si>
    <t>J18</t>
  </si>
  <si>
    <t>J19</t>
  </si>
  <si>
    <t>35 pontos Ranking</t>
  </si>
  <si>
    <t>34 pontos Ranking</t>
  </si>
  <si>
    <t>33 pontos Ranking</t>
  </si>
  <si>
    <t>32 pontos Ranking</t>
  </si>
  <si>
    <t>30 pontos Ranking</t>
  </si>
  <si>
    <t>37 pontos Ranking</t>
  </si>
  <si>
    <t>36 pontos Ranking</t>
  </si>
  <si>
    <t>MUNDIAL - 40 pontos Ranking</t>
  </si>
  <si>
    <t>MUNDIAL - 39 pontos Ranking</t>
  </si>
  <si>
    <t>CLASSIFICADO</t>
  </si>
  <si>
    <t xml:space="preserve"> 38 pontos Ranking</t>
  </si>
  <si>
    <t>.In$a.Nyos.Br</t>
  </si>
  <si>
    <t>Lucca Mengão</t>
  </si>
  <si>
    <t>ManchesterUrubu City</t>
  </si>
  <si>
    <t>Us Karas</t>
  </si>
  <si>
    <t>Grajaú F.C.</t>
  </si>
  <si>
    <t xml:space="preserve">Tribe of Gypsies </t>
  </si>
  <si>
    <t xml:space="preserve">Botafogo Rocha </t>
  </si>
  <si>
    <t xml:space="preserve">Engenheirense </t>
  </si>
  <si>
    <t>André fogão</t>
  </si>
  <si>
    <t>Stars United C.F</t>
  </si>
  <si>
    <t>Family Paz F.C.</t>
  </si>
  <si>
    <t>Football legends Fc</t>
  </si>
  <si>
    <t xml:space="preserve">Real Grotinha United </t>
  </si>
  <si>
    <t xml:space="preserve">F.C. Bugrao </t>
  </si>
  <si>
    <t>IGORJUNIO I.F.C</t>
  </si>
  <si>
    <t>FCB BARCELONA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</si>
</sst>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3" fillId="3" borderId="0" xfId="0" applyFont="1" applyFill="1" applyProtection="1">
      <protection hidden="1"/>
    </xf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1" fontId="3" fillId="3" borderId="0" xfId="0" applyNumberFormat="1" applyFont="1" applyFill="1" applyProtection="1"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0" fillId="0" borderId="0" xfId="0" applyProtection="1">
      <protection locked="0" hidden="1"/>
    </xf>
    <xf numFmtId="0" fontId="4" fillId="2" borderId="1" xfId="0" applyFont="1" applyFill="1" applyBorder="1" applyAlignment="1" applyProtection="1">
      <alignment vertical="center"/>
      <protection hidden="1"/>
    </xf>
    <xf numFmtId="0" fontId="4" fillId="2" borderId="2" xfId="0" applyFont="1" applyFill="1" applyBorder="1" applyAlignment="1" applyProtection="1">
      <alignment vertical="center"/>
      <protection hidden="1"/>
    </xf>
    <xf numFmtId="0" fontId="4" fillId="2" borderId="3" xfId="0" applyFont="1" applyFill="1" applyBorder="1" applyAlignment="1" applyProtection="1">
      <alignment vertical="center"/>
      <protection hidden="1"/>
    </xf>
    <xf numFmtId="0" fontId="4" fillId="2" borderId="4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5" xfId="0" applyFont="1" applyFill="1" applyBorder="1" applyAlignment="1" applyProtection="1">
      <alignment vertical="center"/>
      <protection hidden="1"/>
    </xf>
    <xf numFmtId="0" fontId="9" fillId="0" borderId="31" xfId="0" applyFont="1" applyBorder="1" applyAlignment="1" applyProtection="1">
      <alignment horizontal="center" vertical="center"/>
      <protection hidden="1"/>
    </xf>
    <xf numFmtId="0" fontId="9" fillId="0" borderId="32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0" fontId="0" fillId="0" borderId="31" xfId="0" applyBorder="1" applyProtection="1">
      <protection hidden="1"/>
    </xf>
    <xf numFmtId="0" fontId="1" fillId="2" borderId="42" xfId="0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1" fontId="1" fillId="4" borderId="21" xfId="0" applyNumberFormat="1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1" fontId="1" fillId="4" borderId="14" xfId="0" applyNumberFormat="1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1" fillId="4" borderId="20" xfId="0" applyFont="1" applyFill="1" applyBorder="1" applyAlignment="1" applyProtection="1">
      <alignment horizontal="center"/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6" fillId="3" borderId="0" xfId="0" applyFont="1" applyFill="1" applyProtection="1"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9" fontId="1" fillId="4" borderId="22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7" xfId="1" applyFont="1" applyFill="1" applyBorder="1" applyAlignment="1" applyProtection="1">
      <alignment horizontal="center"/>
      <protection hidden="1"/>
    </xf>
    <xf numFmtId="9" fontId="1" fillId="5" borderId="19" xfId="1" applyFont="1" applyFill="1" applyBorder="1" applyAlignment="1" applyProtection="1">
      <alignment horizontal="center"/>
      <protection hidden="1"/>
    </xf>
    <xf numFmtId="9" fontId="1" fillId="4" borderId="15" xfId="1" applyFont="1" applyFill="1" applyBorder="1" applyAlignment="1" applyProtection="1">
      <alignment horizontal="center"/>
      <protection hidden="1"/>
    </xf>
    <xf numFmtId="0" fontId="0" fillId="0" borderId="0" xfId="0" applyBorder="1" applyProtection="1"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2" fontId="0" fillId="0" borderId="0" xfId="0" applyNumberFormat="1" applyBorder="1" applyAlignment="1" applyProtection="1">
      <alignment horizontal="center" vertical="center"/>
      <protection hidden="1"/>
    </xf>
    <xf numFmtId="2" fontId="2" fillId="0" borderId="0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0" fillId="0" borderId="0" xfId="0" applyBorder="1"/>
    <xf numFmtId="0" fontId="6" fillId="4" borderId="44" xfId="0" applyFont="1" applyFill="1" applyBorder="1" applyProtection="1">
      <protection hidden="1"/>
    </xf>
    <xf numFmtId="0" fontId="6" fillId="5" borderId="30" xfId="0" applyFont="1" applyFill="1" applyBorder="1" applyProtection="1">
      <protection hidden="1"/>
    </xf>
    <xf numFmtId="1" fontId="15" fillId="0" borderId="16" xfId="0" applyNumberFormat="1" applyFont="1" applyBorder="1" applyAlignment="1" applyProtection="1">
      <alignment horizontal="center"/>
      <protection locked="0" hidden="1"/>
    </xf>
    <xf numFmtId="2" fontId="16" fillId="0" borderId="16" xfId="0" applyNumberFormat="1" applyFont="1" applyBorder="1" applyAlignment="1" applyProtection="1">
      <alignment horizontal="center"/>
      <protection hidden="1"/>
    </xf>
    <xf numFmtId="1" fontId="17" fillId="0" borderId="16" xfId="0" applyNumberFormat="1" applyFont="1" applyBorder="1" applyAlignment="1" applyProtection="1">
      <alignment horizontal="center"/>
      <protection locked="0" hidden="1"/>
    </xf>
    <xf numFmtId="0" fontId="16" fillId="0" borderId="16" xfId="0" applyFont="1" applyBorder="1" applyAlignment="1" applyProtection="1">
      <alignment horizontal="center"/>
      <protection hidden="1"/>
    </xf>
    <xf numFmtId="0" fontId="14" fillId="0" borderId="0" xfId="0" applyFont="1" applyProtection="1"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0" fillId="3" borderId="0" xfId="0" applyFill="1" applyProtection="1">
      <protection hidden="1"/>
    </xf>
    <xf numFmtId="0" fontId="0" fillId="0" borderId="0" xfId="0" applyBorder="1" applyAlignment="1" applyProtection="1">
      <alignment horizontal="center"/>
      <protection hidden="1"/>
    </xf>
    <xf numFmtId="1" fontId="6" fillId="0" borderId="0" xfId="0" applyNumberFormat="1" applyFont="1" applyBorder="1" applyAlignment="1" applyProtection="1">
      <alignment horizontal="center"/>
      <protection locked="0" hidden="1"/>
    </xf>
    <xf numFmtId="2" fontId="6" fillId="0" borderId="0" xfId="0" applyNumberFormat="1" applyFont="1" applyBorder="1" applyAlignment="1" applyProtection="1">
      <alignment horizontal="center"/>
      <protection hidden="1"/>
    </xf>
    <xf numFmtId="0" fontId="14" fillId="0" borderId="0" xfId="0" applyFont="1" applyProtection="1">
      <protection locked="0" hidden="1"/>
    </xf>
    <xf numFmtId="0" fontId="10" fillId="0" borderId="0" xfId="0" applyFont="1" applyProtection="1">
      <protection hidden="1"/>
    </xf>
    <xf numFmtId="0" fontId="10" fillId="3" borderId="0" xfId="0" applyFont="1" applyFill="1" applyProtection="1">
      <protection hidden="1"/>
    </xf>
    <xf numFmtId="0" fontId="10" fillId="3" borderId="0" xfId="0" applyFont="1" applyFill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/>
      <protection hidden="1"/>
    </xf>
    <xf numFmtId="1" fontId="16" fillId="0" borderId="0" xfId="0" applyNumberFormat="1" applyFont="1" applyBorder="1" applyAlignment="1" applyProtection="1">
      <alignment horizontal="center"/>
      <protection locked="0" hidden="1"/>
    </xf>
    <xf numFmtId="2" fontId="16" fillId="0" borderId="0" xfId="0" applyNumberFormat="1" applyFont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2" fontId="14" fillId="0" borderId="21" xfId="0" applyNumberFormat="1" applyFont="1" applyBorder="1" applyAlignment="1" applyProtection="1">
      <alignment horizontal="center" vertical="center"/>
      <protection hidden="1"/>
    </xf>
    <xf numFmtId="2" fontId="14" fillId="0" borderId="34" xfId="0" applyNumberFormat="1" applyFont="1" applyBorder="1" applyAlignment="1" applyProtection="1">
      <alignment horizontal="center" vertical="center"/>
      <protection hidden="1"/>
    </xf>
    <xf numFmtId="2" fontId="17" fillId="0" borderId="9" xfId="0" applyNumberFormat="1" applyFont="1" applyBorder="1" applyAlignment="1" applyProtection="1">
      <alignment horizontal="center" vertical="center"/>
      <protection hidden="1"/>
    </xf>
    <xf numFmtId="2" fontId="14" fillId="0" borderId="10" xfId="0" applyNumberFormat="1" applyFont="1" applyBorder="1" applyAlignment="1" applyProtection="1">
      <alignment horizontal="center" vertical="center"/>
      <protection hidden="1"/>
    </xf>
    <xf numFmtId="2" fontId="15" fillId="0" borderId="42" xfId="0" applyNumberFormat="1" applyFont="1" applyBorder="1" applyAlignment="1" applyProtection="1">
      <alignment horizontal="center" vertical="center"/>
      <protection hidden="1"/>
    </xf>
    <xf numFmtId="2" fontId="17" fillId="0" borderId="12" xfId="0" applyNumberFormat="1" applyFont="1" applyBorder="1" applyAlignment="1" applyProtection="1">
      <alignment horizontal="center" vertical="center"/>
      <protection hidden="1"/>
    </xf>
    <xf numFmtId="2" fontId="15" fillId="0" borderId="11" xfId="0" applyNumberFormat="1" applyFont="1" applyBorder="1" applyAlignment="1" applyProtection="1">
      <alignment horizontal="center" vertical="center"/>
      <protection hidden="1"/>
    </xf>
    <xf numFmtId="2" fontId="17" fillId="0" borderId="28" xfId="0" applyNumberFormat="1" applyFont="1" applyBorder="1" applyAlignment="1" applyProtection="1">
      <alignment horizontal="center" vertical="center"/>
      <protection locked="0" hidden="1"/>
    </xf>
    <xf numFmtId="2" fontId="17" fillId="0" borderId="29" xfId="0" applyNumberFormat="1" applyFont="1" applyBorder="1" applyAlignment="1" applyProtection="1">
      <alignment horizontal="center" vertical="center"/>
      <protection locked="0" hidden="1"/>
    </xf>
    <xf numFmtId="2" fontId="15" fillId="0" borderId="29" xfId="0" applyNumberFormat="1" applyFont="1" applyBorder="1" applyAlignment="1" applyProtection="1">
      <alignment horizontal="center" vertical="center"/>
      <protection locked="0" hidden="1"/>
    </xf>
    <xf numFmtId="2" fontId="15" fillId="0" borderId="28" xfId="0" applyNumberFormat="1" applyFont="1" applyBorder="1" applyAlignment="1" applyProtection="1">
      <alignment horizontal="center" vertical="center"/>
      <protection locked="0" hidden="1"/>
    </xf>
    <xf numFmtId="2" fontId="15" fillId="0" borderId="35" xfId="0" applyNumberFormat="1" applyFont="1" applyBorder="1" applyAlignment="1" applyProtection="1">
      <alignment horizontal="center" vertical="center"/>
      <protection locked="0" hidden="1"/>
    </xf>
    <xf numFmtId="2" fontId="15" fillId="0" borderId="33" xfId="0" applyNumberFormat="1" applyFont="1" applyBorder="1" applyAlignment="1" applyProtection="1">
      <alignment horizontal="center" vertical="center"/>
      <protection locked="0" hidden="1"/>
    </xf>
    <xf numFmtId="2" fontId="15" fillId="0" borderId="9" xfId="0" applyNumberFormat="1" applyFont="1" applyBorder="1" applyAlignment="1" applyProtection="1">
      <alignment horizontal="center" vertical="center"/>
      <protection hidden="1"/>
    </xf>
    <xf numFmtId="2" fontId="17" fillId="0" borderId="33" xfId="0" applyNumberFormat="1" applyFont="1" applyBorder="1" applyAlignment="1" applyProtection="1">
      <alignment horizontal="center" vertical="center"/>
      <protection locked="0" hidden="1"/>
    </xf>
    <xf numFmtId="2" fontId="17" fillId="0" borderId="35" xfId="0" applyNumberFormat="1" applyFont="1" applyBorder="1" applyAlignment="1" applyProtection="1">
      <alignment horizontal="center" vertical="center"/>
      <protection locked="0" hidden="1"/>
    </xf>
    <xf numFmtId="2" fontId="17" fillId="0" borderId="42" xfId="0" applyNumberFormat="1" applyFont="1" applyBorder="1" applyAlignment="1" applyProtection="1">
      <alignment horizontal="center" vertical="center"/>
      <protection hidden="1"/>
    </xf>
    <xf numFmtId="2" fontId="17" fillId="0" borderId="11" xfId="0" applyNumberFormat="1" applyFont="1" applyBorder="1" applyAlignment="1" applyProtection="1">
      <alignment horizontal="center" vertical="center"/>
      <protection hidden="1"/>
    </xf>
    <xf numFmtId="2" fontId="15" fillId="0" borderId="12" xfId="0" applyNumberFormat="1" applyFont="1" applyBorder="1" applyAlignment="1" applyProtection="1">
      <alignment horizontal="center" vertical="center"/>
      <protection hidden="1"/>
    </xf>
    <xf numFmtId="0" fontId="18" fillId="2" borderId="4" xfId="0" applyFont="1" applyFill="1" applyBorder="1" applyAlignment="1" applyProtection="1">
      <alignment vertical="center"/>
      <protection hidden="1"/>
    </xf>
    <xf numFmtId="0" fontId="18" fillId="2" borderId="0" xfId="0" applyFont="1" applyFill="1" applyBorder="1" applyAlignment="1" applyProtection="1">
      <alignment vertical="center"/>
      <protection hidden="1"/>
    </xf>
    <xf numFmtId="0" fontId="18" fillId="2" borderId="5" xfId="0" applyFont="1" applyFill="1" applyBorder="1" applyAlignment="1" applyProtection="1">
      <alignment vertical="center"/>
      <protection hidden="1"/>
    </xf>
    <xf numFmtId="2" fontId="14" fillId="0" borderId="18" xfId="0" applyNumberFormat="1" applyFont="1" applyBorder="1" applyAlignment="1" applyProtection="1">
      <alignment horizontal="center" vertical="center"/>
      <protection hidden="1"/>
    </xf>
    <xf numFmtId="0" fontId="20" fillId="0" borderId="31" xfId="0" applyFont="1" applyBorder="1" applyAlignment="1" applyProtection="1">
      <alignment vertical="center"/>
      <protection hidden="1"/>
    </xf>
    <xf numFmtId="0" fontId="14" fillId="0" borderId="31" xfId="0" applyFont="1" applyBorder="1" applyAlignment="1" applyProtection="1">
      <alignment horizontal="center"/>
      <protection hidden="1"/>
    </xf>
    <xf numFmtId="0" fontId="14" fillId="0" borderId="32" xfId="0" applyFont="1" applyBorder="1" applyAlignment="1" applyProtection="1">
      <alignment horizontal="center"/>
      <protection hidden="1"/>
    </xf>
    <xf numFmtId="0" fontId="14" fillId="0" borderId="13" xfId="0" applyFont="1" applyBorder="1" applyAlignment="1" applyProtection="1">
      <alignment horizontal="center"/>
      <protection hidden="1"/>
    </xf>
    <xf numFmtId="2" fontId="17" fillId="0" borderId="38" xfId="0" applyNumberFormat="1" applyFont="1" applyBorder="1" applyAlignment="1" applyProtection="1">
      <alignment horizontal="center" vertical="center"/>
      <protection hidden="1"/>
    </xf>
    <xf numFmtId="2" fontId="14" fillId="0" borderId="26" xfId="0" applyNumberFormat="1" applyFont="1" applyBorder="1" applyAlignment="1" applyProtection="1">
      <alignment horizontal="center" vertical="center"/>
      <protection hidden="1"/>
    </xf>
    <xf numFmtId="2" fontId="15" fillId="0" borderId="39" xfId="0" applyNumberFormat="1" applyFont="1" applyBorder="1" applyAlignment="1" applyProtection="1">
      <alignment horizontal="center" vertical="center"/>
      <protection hidden="1"/>
    </xf>
    <xf numFmtId="0" fontId="14" fillId="0" borderId="31" xfId="0" applyFont="1" applyBorder="1" applyProtection="1">
      <protection hidden="1"/>
    </xf>
    <xf numFmtId="0" fontId="14" fillId="0" borderId="32" xfId="0" applyFont="1" applyBorder="1" applyProtection="1">
      <protection hidden="1"/>
    </xf>
    <xf numFmtId="0" fontId="14" fillId="0" borderId="13" xfId="0" applyFont="1" applyBorder="1" applyProtection="1">
      <protection hidden="1"/>
    </xf>
    <xf numFmtId="0" fontId="14" fillId="0" borderId="0" xfId="0" applyFont="1" applyBorder="1" applyProtection="1"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2" fontId="17" fillId="0" borderId="0" xfId="0" applyNumberFormat="1" applyFont="1" applyBorder="1" applyAlignment="1" applyProtection="1">
      <alignment horizontal="center" vertical="center"/>
      <protection hidden="1"/>
    </xf>
    <xf numFmtId="2" fontId="14" fillId="0" borderId="0" xfId="0" applyNumberFormat="1" applyFont="1" applyBorder="1" applyAlignment="1" applyProtection="1">
      <alignment horizontal="center" vertical="center"/>
      <protection hidden="1"/>
    </xf>
    <xf numFmtId="2" fontId="15" fillId="0" borderId="0" xfId="0" applyNumberFormat="1" applyFont="1" applyBorder="1" applyAlignment="1" applyProtection="1">
      <alignment horizontal="center" vertical="center"/>
      <protection hidden="1"/>
    </xf>
    <xf numFmtId="0" fontId="14" fillId="0" borderId="21" xfId="0" applyFont="1" applyBorder="1" applyAlignment="1" applyProtection="1">
      <alignment horizontal="center" vertical="center"/>
      <protection hidden="1"/>
    </xf>
    <xf numFmtId="0" fontId="14" fillId="0" borderId="34" xfId="0" applyFont="1" applyBorder="1" applyAlignment="1" applyProtection="1">
      <alignment horizontal="center" vertical="center"/>
      <protection hidden="1"/>
    </xf>
    <xf numFmtId="0" fontId="14" fillId="0" borderId="10" xfId="0" applyFont="1" applyBorder="1" applyAlignment="1" applyProtection="1">
      <alignment horizontal="center" vertical="center"/>
      <protection hidden="1"/>
    </xf>
    <xf numFmtId="0" fontId="18" fillId="2" borderId="1" xfId="0" applyFont="1" applyFill="1" applyBorder="1" applyAlignment="1" applyProtection="1">
      <alignment vertical="center"/>
      <protection hidden="1"/>
    </xf>
    <xf numFmtId="0" fontId="18" fillId="2" borderId="2" xfId="0" applyFont="1" applyFill="1" applyBorder="1" applyAlignment="1" applyProtection="1">
      <alignment vertical="center"/>
      <protection hidden="1"/>
    </xf>
    <xf numFmtId="0" fontId="18" fillId="2" borderId="3" xfId="0" applyFont="1" applyFill="1" applyBorder="1" applyAlignment="1" applyProtection="1">
      <alignment vertical="center"/>
      <protection hidden="1"/>
    </xf>
    <xf numFmtId="0" fontId="18" fillId="2" borderId="6" xfId="0" applyFont="1" applyFill="1" applyBorder="1" applyAlignment="1" applyProtection="1">
      <alignment vertical="center"/>
      <protection hidden="1"/>
    </xf>
    <xf numFmtId="0" fontId="18" fillId="2" borderId="7" xfId="0" applyFont="1" applyFill="1" applyBorder="1" applyAlignment="1" applyProtection="1">
      <alignment vertical="center"/>
      <protection hidden="1"/>
    </xf>
    <xf numFmtId="0" fontId="18" fillId="2" borderId="8" xfId="0" applyFont="1" applyFill="1" applyBorder="1" applyAlignment="1" applyProtection="1">
      <alignment vertical="center"/>
      <protection hidden="1"/>
    </xf>
    <xf numFmtId="0" fontId="14" fillId="0" borderId="12" xfId="0" applyFont="1" applyBorder="1" applyAlignment="1" applyProtection="1">
      <alignment horizontal="center" vertical="center"/>
      <protection hidden="1"/>
    </xf>
    <xf numFmtId="2" fontId="17" fillId="0" borderId="36" xfId="0" applyNumberFormat="1" applyFont="1" applyBorder="1" applyAlignment="1" applyProtection="1">
      <alignment horizontal="center" vertical="center"/>
      <protection locked="0" hidden="1"/>
    </xf>
    <xf numFmtId="2" fontId="15" fillId="0" borderId="37" xfId="0" applyNumberFormat="1" applyFont="1" applyBorder="1" applyAlignment="1" applyProtection="1">
      <alignment horizontal="center" vertical="center"/>
      <protection locked="0" hidden="1"/>
    </xf>
    <xf numFmtId="2" fontId="15" fillId="0" borderId="38" xfId="0" applyNumberFormat="1" applyFont="1" applyBorder="1" applyAlignment="1" applyProtection="1">
      <alignment horizontal="center" vertical="center"/>
      <protection hidden="1"/>
    </xf>
    <xf numFmtId="2" fontId="17" fillId="0" borderId="39" xfId="0" applyNumberFormat="1" applyFont="1" applyBorder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horizont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17" fillId="0" borderId="20" xfId="0" applyFont="1" applyBorder="1" applyAlignment="1" applyProtection="1">
      <alignment horizontal="center" vertical="center"/>
      <protection locked="0" hidden="1"/>
    </xf>
    <xf numFmtId="0" fontId="17" fillId="0" borderId="22" xfId="0" applyFont="1" applyBorder="1" applyAlignment="1" applyProtection="1">
      <alignment horizontal="center" vertical="center"/>
      <protection locked="0" hidden="1"/>
    </xf>
    <xf numFmtId="0" fontId="17" fillId="0" borderId="29" xfId="0" applyFont="1" applyBorder="1" applyAlignment="1" applyProtection="1">
      <alignment horizontal="center" vertical="center"/>
      <protection locked="0" hidden="1"/>
    </xf>
    <xf numFmtId="0" fontId="15" fillId="0" borderId="22" xfId="0" applyFont="1" applyBorder="1" applyAlignment="1" applyProtection="1">
      <alignment horizontal="center" vertical="center"/>
      <protection locked="0" hidden="1"/>
    </xf>
    <xf numFmtId="0" fontId="15" fillId="0" borderId="20" xfId="0" applyFont="1" applyBorder="1" applyAlignment="1" applyProtection="1">
      <alignment horizontal="center" vertical="center"/>
      <protection locked="0" hidden="1"/>
    </xf>
    <xf numFmtId="0" fontId="15" fillId="0" borderId="28" xfId="0" applyFont="1" applyBorder="1" applyAlignment="1" applyProtection="1">
      <alignment horizontal="center" vertical="center"/>
      <protection locked="0"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7" fillId="2" borderId="22" xfId="0" applyFont="1" applyFill="1" applyBorder="1" applyAlignment="1" applyProtection="1">
      <alignment horizontal="center" vertical="center"/>
      <protection hidden="1"/>
    </xf>
    <xf numFmtId="0" fontId="7" fillId="2" borderId="23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14" fillId="0" borderId="16" xfId="0" applyFont="1" applyBorder="1" applyAlignment="1" applyProtection="1">
      <alignment horizont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2" xfId="0" applyFont="1" applyFill="1" applyBorder="1" applyAlignment="1" applyProtection="1">
      <alignment horizontal="center" vertical="center"/>
      <protection hidden="1"/>
    </xf>
    <xf numFmtId="0" fontId="5" fillId="2" borderId="23" xfId="0" applyFont="1" applyFill="1" applyBorder="1" applyAlignment="1" applyProtection="1">
      <alignment horizontal="center" vertical="center"/>
      <protection hidden="1"/>
    </xf>
    <xf numFmtId="0" fontId="5" fillId="2" borderId="1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9" fillId="0" borderId="27" xfId="0" applyFont="1" applyBorder="1" applyAlignment="1" applyProtection="1">
      <alignment horizontal="center" vertical="center"/>
      <protection hidden="1"/>
    </xf>
    <xf numFmtId="0" fontId="9" fillId="0" borderId="30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2" fontId="2" fillId="0" borderId="31" xfId="0" applyNumberFormat="1" applyFont="1" applyBorder="1" applyAlignment="1" applyProtection="1">
      <alignment horizontal="center" vertical="center"/>
      <protection hidden="1"/>
    </xf>
    <xf numFmtId="2" fontId="2" fillId="0" borderId="32" xfId="0" applyNumberFormat="1" applyFont="1" applyBorder="1" applyAlignment="1" applyProtection="1">
      <alignment horizontal="center" vertical="center"/>
      <protection hidden="1"/>
    </xf>
    <xf numFmtId="2" fontId="2" fillId="0" borderId="13" xfId="0" applyNumberFormat="1" applyFont="1" applyBorder="1" applyAlignment="1" applyProtection="1">
      <alignment horizontal="center" vertical="center"/>
      <protection hidden="1"/>
    </xf>
    <xf numFmtId="2" fontId="15" fillId="0" borderId="31" xfId="0" applyNumberFormat="1" applyFont="1" applyBorder="1" applyAlignment="1" applyProtection="1">
      <alignment horizontal="center" vertical="center"/>
      <protection hidden="1"/>
    </xf>
    <xf numFmtId="2" fontId="15" fillId="0" borderId="32" xfId="0" applyNumberFormat="1" applyFont="1" applyBorder="1" applyAlignment="1" applyProtection="1">
      <alignment horizontal="center" vertical="center"/>
      <protection hidden="1"/>
    </xf>
    <xf numFmtId="2" fontId="15" fillId="0" borderId="13" xfId="0" applyNumberFormat="1" applyFont="1" applyBorder="1" applyAlignment="1" applyProtection="1">
      <alignment horizontal="center" vertical="center"/>
      <protection hidden="1"/>
    </xf>
    <xf numFmtId="0" fontId="20" fillId="0" borderId="4" xfId="0" applyFont="1" applyBorder="1" applyAlignment="1" applyProtection="1">
      <alignment horizontal="center" vertical="center"/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20" fillId="0" borderId="2" xfId="0" applyFont="1" applyBorder="1" applyAlignment="1" applyProtection="1">
      <alignment horizontal="center" vertical="center"/>
      <protection hidden="1"/>
    </xf>
    <xf numFmtId="0" fontId="20" fillId="0" borderId="3" xfId="0" applyFont="1" applyBorder="1" applyAlignment="1" applyProtection="1">
      <alignment horizontal="center" vertical="center"/>
      <protection hidden="1"/>
    </xf>
    <xf numFmtId="0" fontId="20" fillId="0" borderId="6" xfId="0" applyFont="1" applyBorder="1" applyAlignment="1" applyProtection="1">
      <alignment horizontal="center" vertical="center"/>
      <protection hidden="1"/>
    </xf>
    <xf numFmtId="0" fontId="20" fillId="0" borderId="7" xfId="0" applyFont="1" applyBorder="1" applyAlignment="1" applyProtection="1">
      <alignment horizontal="center" vertical="center"/>
      <protection hidden="1"/>
    </xf>
    <xf numFmtId="0" fontId="20" fillId="0" borderId="8" xfId="0" applyFont="1" applyBorder="1" applyAlignment="1" applyProtection="1">
      <alignment horizontal="center" vertical="center"/>
      <protection hidden="1"/>
    </xf>
    <xf numFmtId="2" fontId="17" fillId="0" borderId="31" xfId="0" applyNumberFormat="1" applyFont="1" applyBorder="1" applyAlignment="1" applyProtection="1">
      <alignment horizontal="center" vertical="center"/>
      <protection hidden="1"/>
    </xf>
    <xf numFmtId="2" fontId="17" fillId="0" borderId="32" xfId="0" applyNumberFormat="1" applyFont="1" applyBorder="1" applyAlignment="1" applyProtection="1">
      <alignment horizontal="center" vertical="center"/>
      <protection hidden="1"/>
    </xf>
    <xf numFmtId="2" fontId="17" fillId="0" borderId="13" xfId="0" applyNumberFormat="1" applyFont="1" applyBorder="1" applyAlignment="1" applyProtection="1">
      <alignment horizontal="center" vertical="center"/>
      <protection hidden="1"/>
    </xf>
    <xf numFmtId="0" fontId="18" fillId="2" borderId="1" xfId="0" applyFont="1" applyFill="1" applyBorder="1" applyAlignment="1" applyProtection="1">
      <alignment horizontal="center" vertical="center"/>
      <protection hidden="1"/>
    </xf>
    <xf numFmtId="0" fontId="18" fillId="2" borderId="2" xfId="0" applyFont="1" applyFill="1" applyBorder="1" applyAlignment="1" applyProtection="1">
      <alignment horizontal="center" vertical="center"/>
      <protection hidden="1"/>
    </xf>
    <xf numFmtId="0" fontId="18" fillId="2" borderId="3" xfId="0" applyFont="1" applyFill="1" applyBorder="1" applyAlignment="1" applyProtection="1">
      <alignment horizontal="center" vertical="center"/>
      <protection hidden="1"/>
    </xf>
    <xf numFmtId="0" fontId="18" fillId="2" borderId="4" xfId="0" applyFont="1" applyFill="1" applyBorder="1" applyAlignment="1" applyProtection="1">
      <alignment horizontal="center" vertical="center"/>
      <protection hidden="1"/>
    </xf>
    <xf numFmtId="0" fontId="18" fillId="2" borderId="0" xfId="0" applyFont="1" applyFill="1" applyBorder="1" applyAlignment="1" applyProtection="1">
      <alignment horizontal="center" vertical="center"/>
      <protection hidden="1"/>
    </xf>
    <xf numFmtId="0" fontId="18" fillId="2" borderId="5" xfId="0" applyFont="1" applyFill="1" applyBorder="1" applyAlignment="1" applyProtection="1">
      <alignment horizontal="center" vertical="center"/>
      <protection hidden="1"/>
    </xf>
    <xf numFmtId="0" fontId="18" fillId="2" borderId="6" xfId="0" applyFont="1" applyFill="1" applyBorder="1" applyAlignment="1" applyProtection="1">
      <alignment horizontal="center" vertical="center"/>
      <protection hidden="1"/>
    </xf>
    <xf numFmtId="0" fontId="18" fillId="2" borderId="7" xfId="0" applyFont="1" applyFill="1" applyBorder="1" applyAlignment="1" applyProtection="1">
      <alignment horizontal="center" vertical="center"/>
      <protection hidden="1"/>
    </xf>
    <xf numFmtId="0" fontId="18" fillId="2" borderId="8" xfId="0" applyFont="1" applyFill="1" applyBorder="1" applyAlignment="1" applyProtection="1">
      <alignment horizontal="center" vertical="center"/>
      <protection hidden="1"/>
    </xf>
    <xf numFmtId="0" fontId="19" fillId="2" borderId="1" xfId="0" applyFont="1" applyFill="1" applyBorder="1" applyAlignment="1" applyProtection="1">
      <alignment horizontal="center" vertical="center"/>
      <protection hidden="1"/>
    </xf>
    <xf numFmtId="0" fontId="19" fillId="2" borderId="2" xfId="0" applyFont="1" applyFill="1" applyBorder="1" applyAlignment="1" applyProtection="1">
      <alignment horizontal="center" vertical="center"/>
      <protection hidden="1"/>
    </xf>
    <xf numFmtId="0" fontId="19" fillId="2" borderId="3" xfId="0" applyFont="1" applyFill="1" applyBorder="1" applyAlignment="1" applyProtection="1">
      <alignment horizontal="center" vertical="center"/>
      <protection hidden="1"/>
    </xf>
    <xf numFmtId="0" fontId="19" fillId="2" borderId="6" xfId="0" applyFont="1" applyFill="1" applyBorder="1" applyAlignment="1" applyProtection="1">
      <alignment horizontal="center" vertical="center"/>
      <protection hidden="1"/>
    </xf>
    <xf numFmtId="0" fontId="19" fillId="2" borderId="7" xfId="0" applyFont="1" applyFill="1" applyBorder="1" applyAlignment="1" applyProtection="1">
      <alignment horizontal="center" vertical="center"/>
      <protection hidden="1"/>
    </xf>
    <xf numFmtId="0" fontId="19" fillId="2" borderId="8" xfId="0" applyFont="1" applyFill="1" applyBorder="1" applyAlignment="1" applyProtection="1">
      <alignment horizontal="center" vertical="center"/>
      <protection hidden="1"/>
    </xf>
    <xf numFmtId="0" fontId="20" fillId="0" borderId="27" xfId="0" applyFont="1" applyBorder="1" applyAlignment="1" applyProtection="1">
      <alignment horizontal="center" vertical="center"/>
      <protection hidden="1"/>
    </xf>
    <xf numFmtId="0" fontId="20" fillId="0" borderId="30" xfId="0" applyFont="1" applyBorder="1" applyAlignment="1" applyProtection="1">
      <alignment horizontal="center" vertical="center"/>
      <protection hidden="1"/>
    </xf>
    <xf numFmtId="0" fontId="14" fillId="0" borderId="31" xfId="0" applyFont="1" applyBorder="1" applyAlignment="1" applyProtection="1">
      <alignment horizontal="center" vertical="center"/>
      <protection hidden="1"/>
    </xf>
    <xf numFmtId="0" fontId="14" fillId="0" borderId="32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19" fillId="2" borderId="43" xfId="0" applyFont="1" applyFill="1" applyBorder="1" applyAlignment="1" applyProtection="1">
      <alignment horizontal="center" vertical="center"/>
      <protection hidden="1"/>
    </xf>
    <xf numFmtId="0" fontId="19" fillId="2" borderId="38" xfId="0" applyFont="1" applyFill="1" applyBorder="1" applyAlignment="1" applyProtection="1">
      <alignment horizontal="center" vertical="center"/>
      <protection hidden="1"/>
    </xf>
    <xf numFmtId="0" fontId="17" fillId="0" borderId="31" xfId="0" applyFont="1" applyBorder="1" applyAlignment="1" applyProtection="1">
      <alignment horizontal="center" vertical="center"/>
      <protection hidden="1"/>
    </xf>
    <xf numFmtId="0" fontId="17" fillId="0" borderId="32" xfId="0" applyFont="1" applyBorder="1" applyAlignment="1" applyProtection="1">
      <alignment horizontal="center" vertical="center"/>
      <protection hidden="1"/>
    </xf>
    <xf numFmtId="0" fontId="17" fillId="0" borderId="13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8" xfId="0" applyFont="1" applyBorder="1" applyAlignment="1" applyProtection="1">
      <alignment horizontal="center" vertical="center"/>
      <protection hidden="1"/>
    </xf>
    <xf numFmtId="0" fontId="17" fillId="0" borderId="35" xfId="0" applyFont="1" applyBorder="1" applyAlignment="1" applyProtection="1">
      <alignment horizontal="center" vertical="center"/>
      <protection locked="0" hidden="1"/>
    </xf>
    <xf numFmtId="0" fontId="17" fillId="0" borderId="42" xfId="0" applyFont="1" applyBorder="1" applyAlignment="1" applyProtection="1">
      <alignment horizontal="center" vertical="center"/>
      <protection hidden="1"/>
    </xf>
    <xf numFmtId="0" fontId="17" fillId="0" borderId="40" xfId="0" applyFont="1" applyBorder="1" applyAlignment="1" applyProtection="1">
      <alignment horizontal="center" vertical="center"/>
      <protection locked="0"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17" fillId="0" borderId="41" xfId="0" applyFont="1" applyBorder="1" applyAlignment="1" applyProtection="1">
      <alignment horizontal="center" vertical="center"/>
      <protection locked="0" hidden="1"/>
    </xf>
    <xf numFmtId="0" fontId="15" fillId="0" borderId="40" xfId="0" applyFont="1" applyBorder="1" applyAlignment="1" applyProtection="1">
      <alignment horizontal="center" vertical="center"/>
      <protection locked="0" hidden="1"/>
    </xf>
    <xf numFmtId="0" fontId="15" fillId="0" borderId="41" xfId="0" applyFont="1" applyBorder="1" applyAlignment="1" applyProtection="1">
      <alignment horizontal="center" vertical="center"/>
      <protection locked="0" hidden="1"/>
    </xf>
    <xf numFmtId="0" fontId="15" fillId="0" borderId="42" xfId="0" applyFont="1" applyBorder="1" applyAlignment="1" applyProtection="1">
      <alignment horizontal="center" vertical="center"/>
      <protection hidden="1"/>
    </xf>
    <xf numFmtId="0" fontId="15" fillId="0" borderId="9" xfId="0" applyFont="1" applyBorder="1" applyAlignment="1" applyProtection="1">
      <alignment horizontal="center" vertical="center"/>
      <protection hidden="1"/>
    </xf>
    <xf numFmtId="0" fontId="15" fillId="0" borderId="33" xfId="0" applyFont="1" applyBorder="1" applyAlignment="1" applyProtection="1">
      <alignment horizontal="center" vertical="center"/>
      <protection locked="0" hidden="1"/>
    </xf>
    <xf numFmtId="0" fontId="15" fillId="0" borderId="44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center"/>
      <protection hidden="1"/>
    </xf>
    <xf numFmtId="0" fontId="11" fillId="0" borderId="3" xfId="0" applyFont="1" applyBorder="1" applyAlignment="1" applyProtection="1">
      <alignment horizontal="center"/>
      <protection hidden="1"/>
    </xf>
    <xf numFmtId="0" fontId="11" fillId="0" borderId="4" xfId="0" applyFont="1" applyBorder="1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center"/>
      <protection hidden="1"/>
    </xf>
    <xf numFmtId="0" fontId="11" fillId="0" borderId="5" xfId="0" applyFont="1" applyBorder="1" applyAlignment="1" applyProtection="1">
      <alignment horizontal="center"/>
      <protection hidden="1"/>
    </xf>
    <xf numFmtId="0" fontId="11" fillId="0" borderId="6" xfId="0" applyFont="1" applyBorder="1" applyAlignment="1" applyProtection="1">
      <alignment horizontal="center"/>
      <protection hidden="1"/>
    </xf>
    <xf numFmtId="0" fontId="11" fillId="0" borderId="7" xfId="0" applyFont="1" applyBorder="1" applyAlignment="1" applyProtection="1">
      <alignment horizontal="center"/>
      <protection hidden="1"/>
    </xf>
    <xf numFmtId="0" fontId="11" fillId="0" borderId="8" xfId="0" applyFont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1202532</xdr:colOff>
      <xdr:row>326</xdr:row>
      <xdr:rowOff>50749</xdr:rowOff>
    </xdr:from>
    <xdr:to>
      <xdr:col>7</xdr:col>
      <xdr:colOff>59531</xdr:colOff>
      <xdr:row>333</xdr:row>
      <xdr:rowOff>101692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4595" y="64749312"/>
          <a:ext cx="1762124" cy="1848786"/>
        </a:xfrm>
        <a:prstGeom prst="rect">
          <a:avLst/>
        </a:prstGeom>
      </xdr:spPr>
    </xdr:pic>
    <xdr:clientData/>
  </xdr:twoCellAnchor>
  <xdr:twoCellAnchor editAs="oneCell">
    <xdr:from>
      <xdr:col>4</xdr:col>
      <xdr:colOff>1345405</xdr:colOff>
      <xdr:row>337</xdr:row>
      <xdr:rowOff>119061</xdr:rowOff>
    </xdr:from>
    <xdr:to>
      <xdr:col>6</xdr:col>
      <xdr:colOff>142874</xdr:colOff>
      <xdr:row>343</xdr:row>
      <xdr:rowOff>226658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7468" y="67544155"/>
          <a:ext cx="1476375" cy="1572066"/>
        </a:xfrm>
        <a:prstGeom prst="rect">
          <a:avLst/>
        </a:prstGeom>
      </xdr:spPr>
    </xdr:pic>
    <xdr:clientData/>
  </xdr:twoCellAnchor>
  <xdr:twoCellAnchor editAs="oneCell">
    <xdr:from>
      <xdr:col>4</xdr:col>
      <xdr:colOff>1452564</xdr:colOff>
      <xdr:row>348</xdr:row>
      <xdr:rowOff>11907</xdr:rowOff>
    </xdr:from>
    <xdr:to>
      <xdr:col>7</xdr:col>
      <xdr:colOff>166688</xdr:colOff>
      <xdr:row>354</xdr:row>
      <xdr:rowOff>148166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4627" y="70080188"/>
          <a:ext cx="1619249" cy="1529291"/>
        </a:xfrm>
        <a:prstGeom prst="rect">
          <a:avLst/>
        </a:prstGeom>
      </xdr:spPr>
    </xdr:pic>
    <xdr:clientData/>
  </xdr:twoCellAnchor>
  <xdr:twoCellAnchor editAs="oneCell">
    <xdr:from>
      <xdr:col>4</xdr:col>
      <xdr:colOff>1333499</xdr:colOff>
      <xdr:row>359</xdr:row>
      <xdr:rowOff>35718</xdr:rowOff>
    </xdr:from>
    <xdr:to>
      <xdr:col>6</xdr:col>
      <xdr:colOff>59530</xdr:colOff>
      <xdr:row>365</xdr:row>
      <xdr:rowOff>153029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5562" y="72473343"/>
          <a:ext cx="1404937" cy="1260311"/>
        </a:xfrm>
        <a:prstGeom prst="rect">
          <a:avLst/>
        </a:prstGeom>
      </xdr:spPr>
    </xdr:pic>
    <xdr:clientData/>
  </xdr:twoCellAnchor>
  <xdr:twoCellAnchor editAs="oneCell">
    <xdr:from>
      <xdr:col>4</xdr:col>
      <xdr:colOff>1464469</xdr:colOff>
      <xdr:row>370</xdr:row>
      <xdr:rowOff>47625</xdr:rowOff>
    </xdr:from>
    <xdr:to>
      <xdr:col>5</xdr:col>
      <xdr:colOff>381000</xdr:colOff>
      <xdr:row>377</xdr:row>
      <xdr:rowOff>20129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6532" y="74604563"/>
          <a:ext cx="1131093" cy="1306004"/>
        </a:xfrm>
        <a:prstGeom prst="rect">
          <a:avLst/>
        </a:prstGeom>
      </xdr:spPr>
    </xdr:pic>
    <xdr:clientData/>
  </xdr:twoCellAnchor>
  <xdr:twoCellAnchor editAs="oneCell">
    <xdr:from>
      <xdr:col>4</xdr:col>
      <xdr:colOff>1647323</xdr:colOff>
      <xdr:row>381</xdr:row>
      <xdr:rowOff>166688</xdr:rowOff>
    </xdr:from>
    <xdr:to>
      <xdr:col>5</xdr:col>
      <xdr:colOff>416719</xdr:colOff>
      <xdr:row>388</xdr:row>
      <xdr:rowOff>11775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386" y="76842938"/>
          <a:ext cx="983958" cy="1178587"/>
        </a:xfrm>
        <a:prstGeom prst="rect">
          <a:avLst/>
        </a:prstGeom>
      </xdr:spPr>
    </xdr:pic>
    <xdr:clientData/>
  </xdr:twoCellAnchor>
  <xdr:twoCellAnchor editAs="oneCell">
    <xdr:from>
      <xdr:col>4</xdr:col>
      <xdr:colOff>1452562</xdr:colOff>
      <xdr:row>392</xdr:row>
      <xdr:rowOff>59531</xdr:rowOff>
    </xdr:from>
    <xdr:to>
      <xdr:col>6</xdr:col>
      <xdr:colOff>88106</xdr:colOff>
      <xdr:row>398</xdr:row>
      <xdr:rowOff>107156</xdr:rowOff>
    </xdr:to>
    <xdr:pic>
      <xdr:nvPicPr>
        <xdr:cNvPr id="8" name="Imagem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4625" y="78855094"/>
          <a:ext cx="1314450" cy="1190625"/>
        </a:xfrm>
        <a:prstGeom prst="rect">
          <a:avLst/>
        </a:prstGeom>
      </xdr:spPr>
    </xdr:pic>
    <xdr:clientData/>
  </xdr:twoCellAnchor>
  <xdr:twoCellAnchor editAs="oneCell">
    <xdr:from>
      <xdr:col>4</xdr:col>
      <xdr:colOff>1738313</xdr:colOff>
      <xdr:row>403</xdr:row>
      <xdr:rowOff>59532</xdr:rowOff>
    </xdr:from>
    <xdr:to>
      <xdr:col>6</xdr:col>
      <xdr:colOff>116682</xdr:colOff>
      <xdr:row>409</xdr:row>
      <xdr:rowOff>78582</xdr:rowOff>
    </xdr:to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76" y="80974407"/>
          <a:ext cx="1057275" cy="1162050"/>
        </a:xfrm>
        <a:prstGeom prst="rect">
          <a:avLst/>
        </a:prstGeom>
      </xdr:spPr>
    </xdr:pic>
    <xdr:clientData/>
  </xdr:twoCellAnchor>
  <xdr:twoCellAnchor editAs="oneCell">
    <xdr:from>
      <xdr:col>4</xdr:col>
      <xdr:colOff>1535906</xdr:colOff>
      <xdr:row>414</xdr:row>
      <xdr:rowOff>130968</xdr:rowOff>
    </xdr:from>
    <xdr:to>
      <xdr:col>5</xdr:col>
      <xdr:colOff>435769</xdr:colOff>
      <xdr:row>420</xdr:row>
      <xdr:rowOff>73818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7969" y="83165156"/>
          <a:ext cx="1114425" cy="1085850"/>
        </a:xfrm>
        <a:prstGeom prst="rect">
          <a:avLst/>
        </a:prstGeom>
      </xdr:spPr>
    </xdr:pic>
    <xdr:clientData/>
  </xdr:twoCellAnchor>
  <xdr:twoCellAnchor editAs="oneCell">
    <xdr:from>
      <xdr:col>4</xdr:col>
      <xdr:colOff>1750219</xdr:colOff>
      <xdr:row>425</xdr:row>
      <xdr:rowOff>119063</xdr:rowOff>
    </xdr:from>
    <xdr:to>
      <xdr:col>6</xdr:col>
      <xdr:colOff>100013</xdr:colOff>
      <xdr:row>431</xdr:row>
      <xdr:rowOff>52388</xdr:rowOff>
    </xdr:to>
    <xdr:pic>
      <xdr:nvPicPr>
        <xdr:cNvPr id="11" name="Imagem 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2282" y="85272563"/>
          <a:ext cx="10287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35"/>
  <sheetViews>
    <sheetView showGridLines="0" showRowColHeaders="0" tabSelected="1" topLeftCell="A302" zoomScale="80" zoomScaleNormal="80" workbookViewId="0">
      <selection activeCell="M426" sqref="M426:AD435"/>
    </sheetView>
  </sheetViews>
  <sheetFormatPr defaultRowHeight="15" x14ac:dyDescent="0.25"/>
  <cols>
    <col min="1" max="3" width="4" style="1" customWidth="1"/>
    <col min="4" max="4" width="7.140625" style="1" bestFit="1" customWidth="1"/>
    <col min="5" max="5" width="33.28515625" style="1" bestFit="1" customWidth="1"/>
    <col min="6" max="6" width="7" style="1" bestFit="1" customWidth="1"/>
    <col min="7" max="7" width="3.42578125" style="1" customWidth="1"/>
    <col min="8" max="8" width="7" style="1" bestFit="1" customWidth="1"/>
    <col min="9" max="9" width="5.140625" style="1" customWidth="1"/>
    <col min="10" max="10" width="3.7109375" style="1" bestFit="1" customWidth="1"/>
    <col min="11" max="11" width="5.85546875" style="1" customWidth="1"/>
    <col min="12" max="13" width="7.7109375" style="1" bestFit="1" customWidth="1"/>
    <col min="14" max="14" width="5" style="1" customWidth="1"/>
    <col min="15" max="15" width="8.140625" style="1" customWidth="1"/>
    <col min="16" max="16" width="4.5703125" style="1" customWidth="1"/>
    <col min="17" max="18" width="4.42578125" style="1" customWidth="1"/>
    <col min="19" max="19" width="5" style="1" customWidth="1"/>
    <col min="20" max="20" width="20.7109375" style="1" customWidth="1"/>
    <col min="21" max="22" width="4.5703125" style="1" customWidth="1"/>
    <col min="23" max="23" width="4.42578125" style="1" customWidth="1"/>
    <col min="24" max="24" width="3.85546875" style="1" customWidth="1"/>
    <col min="25" max="25" width="5.28515625" style="1" customWidth="1"/>
    <col min="26" max="26" width="4.7109375" style="1" bestFit="1" customWidth="1"/>
    <col min="27" max="27" width="5.140625" style="1" customWidth="1"/>
    <col min="28" max="28" width="3.42578125" style="1" customWidth="1"/>
    <col min="29" max="29" width="4.7109375" style="1" customWidth="1"/>
    <col min="30" max="30" width="4.42578125" style="1" bestFit="1" customWidth="1"/>
    <col min="31" max="31" width="4" style="1" customWidth="1"/>
    <col min="32" max="32" width="7.28515625" style="1" customWidth="1"/>
    <col min="33" max="33" width="10.28515625" style="1" customWidth="1"/>
    <col min="34" max="34" width="13" style="1" bestFit="1" customWidth="1"/>
    <col min="35" max="35" width="7.140625" style="1" customWidth="1"/>
    <col min="36" max="16384" width="9.140625" style="1"/>
  </cols>
  <sheetData>
    <row r="1" spans="2:39" ht="15.75" thickBot="1" x14ac:dyDescent="0.3"/>
    <row r="2" spans="2:39" x14ac:dyDescent="0.25">
      <c r="B2" s="133" t="s">
        <v>0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5"/>
    </row>
    <row r="3" spans="2:39" x14ac:dyDescent="0.25">
      <c r="B3" s="136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8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2:39" ht="15" customHeight="1" thickBot="1" x14ac:dyDescent="0.3">
      <c r="B4" s="139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1"/>
      <c r="T4" s="2"/>
      <c r="U4" s="2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2:39" s="61" customFormat="1" ht="15" customHeight="1" x14ac:dyDescent="0.25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T5" s="3"/>
      <c r="U5" s="3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9" s="61" customFormat="1" ht="15" customHeight="1" x14ac:dyDescent="0.25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T6" s="3"/>
      <c r="U6" s="3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9" s="61" customFormat="1" ht="15" customHeight="1" x14ac:dyDescent="0.25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T7" s="3"/>
      <c r="U7" s="3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9" s="61" customFormat="1" ht="15" customHeight="1" x14ac:dyDescent="0.25"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9" t="s">
        <v>7</v>
      </c>
      <c r="T8" s="3"/>
      <c r="U8" s="3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9" ht="12" customHeight="1" x14ac:dyDescent="0.25"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9" t="s">
        <v>16</v>
      </c>
      <c r="T9" s="2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66"/>
      <c r="AL9" s="66"/>
      <c r="AM9" s="66"/>
    </row>
    <row r="10" spans="2:39" ht="12.75" customHeight="1" x14ac:dyDescent="0.25"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9" t="s">
        <v>55</v>
      </c>
      <c r="S10" s="9"/>
      <c r="T10" s="2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66"/>
      <c r="AL10" s="66"/>
      <c r="AM10" s="66"/>
    </row>
    <row r="11" spans="2:39" x14ac:dyDescent="0.25">
      <c r="R11" s="9" t="s">
        <v>56</v>
      </c>
      <c r="S11" s="9"/>
      <c r="T11" s="9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2"/>
      <c r="AL11" s="66"/>
      <c r="AM11" s="66"/>
    </row>
    <row r="12" spans="2:39" ht="15.75" thickBot="1" x14ac:dyDescent="0.3">
      <c r="R12" s="9" t="s">
        <v>57</v>
      </c>
      <c r="S12" s="9"/>
      <c r="T12" s="9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2"/>
      <c r="AL12" s="72"/>
      <c r="AM12" s="66"/>
    </row>
    <row r="13" spans="2:39" ht="15" customHeight="1" x14ac:dyDescent="0.25">
      <c r="D13" s="142" t="s">
        <v>1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4"/>
      <c r="Q13" s="9"/>
      <c r="R13" s="9" t="s">
        <v>58</v>
      </c>
      <c r="S13" s="9"/>
      <c r="T13" s="9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2"/>
      <c r="AL13" s="72"/>
      <c r="AM13" s="66"/>
    </row>
    <row r="14" spans="2:39" ht="15.75" customHeight="1" thickBot="1" x14ac:dyDescent="0.3">
      <c r="D14" s="145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7"/>
      <c r="Q14" s="9"/>
      <c r="R14" s="9" t="s">
        <v>59</v>
      </c>
      <c r="S14" s="9"/>
      <c r="T14" s="9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2"/>
      <c r="AL14" s="72"/>
      <c r="AM14" s="66"/>
    </row>
    <row r="15" spans="2:39" ht="15.75" thickBot="1" x14ac:dyDescent="0.3">
      <c r="D15" s="4" t="s">
        <v>2</v>
      </c>
      <c r="E15" s="5" t="s">
        <v>3</v>
      </c>
      <c r="F15" s="5" t="s">
        <v>48</v>
      </c>
      <c r="G15" s="5" t="s">
        <v>4</v>
      </c>
      <c r="H15" s="5" t="s">
        <v>49</v>
      </c>
      <c r="I15" s="5" t="s">
        <v>50</v>
      </c>
      <c r="J15" s="5" t="s">
        <v>51</v>
      </c>
      <c r="K15" s="5" t="s">
        <v>52</v>
      </c>
      <c r="L15" s="5" t="s">
        <v>54</v>
      </c>
      <c r="M15" s="5" t="s">
        <v>5</v>
      </c>
      <c r="N15" s="5" t="s">
        <v>6</v>
      </c>
      <c r="O15" s="21" t="s">
        <v>53</v>
      </c>
      <c r="Q15" s="9"/>
      <c r="R15" s="9" t="s">
        <v>60</v>
      </c>
      <c r="S15" s="9"/>
      <c r="T15" s="9"/>
      <c r="U15" s="6" t="s">
        <v>2</v>
      </c>
      <c r="V15" s="6" t="s">
        <v>8</v>
      </c>
      <c r="W15" s="6" t="s">
        <v>48</v>
      </c>
      <c r="X15" s="6" t="s">
        <v>4</v>
      </c>
      <c r="Y15" s="6" t="s">
        <v>49</v>
      </c>
      <c r="Z15" s="6" t="s">
        <v>50</v>
      </c>
      <c r="AA15" s="6" t="s">
        <v>51</v>
      </c>
      <c r="AB15" s="6" t="s">
        <v>52</v>
      </c>
      <c r="AC15" s="6" t="s">
        <v>9</v>
      </c>
      <c r="AD15" s="6" t="s">
        <v>10</v>
      </c>
      <c r="AE15" s="6" t="s">
        <v>11</v>
      </c>
      <c r="AF15" s="6" t="s">
        <v>53</v>
      </c>
      <c r="AG15" s="6" t="s">
        <v>12</v>
      </c>
      <c r="AH15" s="6" t="s">
        <v>13</v>
      </c>
      <c r="AI15" s="6" t="s">
        <v>14</v>
      </c>
      <c r="AJ15" s="3"/>
      <c r="AK15" s="2"/>
      <c r="AL15" s="72"/>
      <c r="AM15" s="66"/>
    </row>
    <row r="16" spans="2:39" x14ac:dyDescent="0.25">
      <c r="D16" s="36" t="s">
        <v>15</v>
      </c>
      <c r="E16" s="22" t="str">
        <f>VLOOKUP(AI16,$U$16:$AH$19,2)</f>
        <v>Us Karas</v>
      </c>
      <c r="F16" s="22">
        <f>VLOOKUP(AI16,$U$16:$AH$19,3)</f>
        <v>6</v>
      </c>
      <c r="G16" s="22">
        <f>VLOOKUP(AI16,$U$16:$AH$19,4)</f>
        <v>13</v>
      </c>
      <c r="H16" s="23">
        <f>VLOOKUP(AI16,$U$16:$AH$19,5)</f>
        <v>3</v>
      </c>
      <c r="I16" s="23">
        <f>VLOOKUP(AI16,$U$16:$AH$19,6)</f>
        <v>2</v>
      </c>
      <c r="J16" s="23">
        <f>VLOOKUP(AI16,$U$16:$AH$19,7)</f>
        <v>0</v>
      </c>
      <c r="K16" s="23">
        <f>VLOOKUP(AI16,$U$16:$AH$19,8)</f>
        <v>1</v>
      </c>
      <c r="L16" s="23">
        <f>VLOOKUP(AI16,$U$16:$AH$19,9)</f>
        <v>329</v>
      </c>
      <c r="M16" s="23">
        <f>VLOOKUP(AI16,$U$16:$AH$19,10)</f>
        <v>251</v>
      </c>
      <c r="N16" s="22">
        <f>VLOOKUP(AI16,$U$16:$AH$19,11)</f>
        <v>78</v>
      </c>
      <c r="O16" s="41">
        <f>VLOOKUP(AI16,$U$16:$AH$19,12)</f>
        <v>0.72222222222222221</v>
      </c>
      <c r="Q16" s="9"/>
      <c r="R16" s="9" t="s">
        <v>20</v>
      </c>
      <c r="S16" s="9"/>
      <c r="T16" s="9"/>
      <c r="U16" s="6">
        <v>1</v>
      </c>
      <c r="V16" s="3" t="s">
        <v>103</v>
      </c>
      <c r="W16" s="8">
        <f>COUNT($F$24,$F$30,$F$36,$F$42,$F$48,$F$54)</f>
        <v>6</v>
      </c>
      <c r="X16" s="8">
        <f>SUM(Q24,Q31,Q37,Q42,Q49,Q55)</f>
        <v>8</v>
      </c>
      <c r="Y16" s="8">
        <f>SUM(COUNTIFS($C$24:$C$55,3,$D$24:$D$55,V16),COUNTIFS($I$24:$I$55,V16,$Q$24:$Q$55,3))</f>
        <v>2</v>
      </c>
      <c r="Z16" s="8">
        <f>SUM(COUNTIFS($C$24:$C$55,2,$D$24:$D$55,V16),COUNTIFS($I$24:$I$55,V16,$Q$24:$Q$55,2))</f>
        <v>1</v>
      </c>
      <c r="AA16" s="8">
        <f>SUM(COUNTIFS($C$24:$C$55,1,$D$24:$D$55,V16),COUNTIFS($I$24:$I$55,V16,$Q$24:$Q$55,1))</f>
        <v>0</v>
      </c>
      <c r="AB16" s="8">
        <f>SUM(COUNTIFS($C$24:$C$55,0,$D$24:$D$55,V16),COUNTIFS($I$24:$I$55,V16,$Q$24:$Q$55,0))</f>
        <v>3</v>
      </c>
      <c r="AC16" s="37">
        <f>SUM(H42,H49,H55,H24,H31,H37)</f>
        <v>329</v>
      </c>
      <c r="AD16" s="37">
        <f>SUM(F24,F31,F37,F42,F49,F55)</f>
        <v>332</v>
      </c>
      <c r="AE16" s="37">
        <f>AC16-AD16</f>
        <v>-3</v>
      </c>
      <c r="AF16" s="37">
        <f>IF(OR($F$24="",$H$24=""),0,(X16/(W16*3)))</f>
        <v>0.44444444444444442</v>
      </c>
      <c r="AG16" s="8">
        <f>(X16*10^10)+((AC16+5000)*10^6)+AE16*100+U16</f>
        <v>85328999701</v>
      </c>
      <c r="AH16" s="8">
        <f>LARGE($AG$16:$AG$19,U16)</f>
        <v>135329007804</v>
      </c>
      <c r="AI16" s="8">
        <f>MATCH(AH16,$AG$16:$AG$19,0)</f>
        <v>4</v>
      </c>
      <c r="AJ16" s="3"/>
      <c r="AK16" s="2"/>
      <c r="AL16" s="72"/>
      <c r="AM16" s="66"/>
    </row>
    <row r="17" spans="3:39" ht="15.75" thickBot="1" x14ac:dyDescent="0.3">
      <c r="D17" s="33" t="s">
        <v>17</v>
      </c>
      <c r="E17" s="24" t="str">
        <f t="shared" ref="E17:E19" si="0">VLOOKUP(AI17,$U$16:$AH$19,2)</f>
        <v>Stars United C.F</v>
      </c>
      <c r="F17" s="24">
        <f t="shared" ref="F17:F19" si="1">VLOOKUP(AI17,$U$16:$AH$19,3)</f>
        <v>6</v>
      </c>
      <c r="G17" s="24">
        <f t="shared" ref="G17:G19" si="2">VLOOKUP(AI17,$U$16:$AH$19,4)</f>
        <v>9</v>
      </c>
      <c r="H17" s="25">
        <f t="shared" ref="H17:H19" si="3">VLOOKUP(AI17,$U$16:$AH$19,5)</f>
        <v>3</v>
      </c>
      <c r="I17" s="25">
        <f t="shared" ref="I17:I19" si="4">VLOOKUP(AI17,$U$16:$AH$19,6)</f>
        <v>0</v>
      </c>
      <c r="J17" s="25">
        <f t="shared" ref="J17:J19" si="5">VLOOKUP(AI17,$U$16:$AH$19,7)</f>
        <v>0</v>
      </c>
      <c r="K17" s="25">
        <f t="shared" ref="K17:K19" si="6">VLOOKUP(AI17,$U$16:$AH$19,8)</f>
        <v>3</v>
      </c>
      <c r="L17" s="25">
        <f t="shared" ref="L17:L19" si="7">VLOOKUP(AI17,$U$16:$AH$19,9)</f>
        <v>280</v>
      </c>
      <c r="M17" s="25">
        <f t="shared" ref="M17:M19" si="8">VLOOKUP(AI17,$U$16:$AH$19,10)</f>
        <v>292</v>
      </c>
      <c r="N17" s="24">
        <f t="shared" ref="N17:N19" si="9">VLOOKUP(AI17,$U$16:$AH$19,11)</f>
        <v>-12</v>
      </c>
      <c r="O17" s="42">
        <f t="shared" ref="O17:O19" si="10">VLOOKUP(AI17,$U$16:$AH$19,12)</f>
        <v>0.5</v>
      </c>
      <c r="Q17" s="9"/>
      <c r="R17" s="9" t="s">
        <v>61</v>
      </c>
      <c r="S17" s="9"/>
      <c r="T17" s="9"/>
      <c r="U17" s="6">
        <v>2</v>
      </c>
      <c r="V17" s="3" t="s">
        <v>97</v>
      </c>
      <c r="W17" s="8">
        <f t="shared" ref="W17:W19" si="11">COUNT($F$24,$F$30,$F$36,$F$42,$F$48,$F$54)</f>
        <v>6</v>
      </c>
      <c r="X17" s="8">
        <f>SUM(Q25,Q30,C37,Q43,Q48,C55)</f>
        <v>9</v>
      </c>
      <c r="Y17" s="8">
        <f t="shared" ref="Y17:Y19" si="12">SUM(COUNTIFS($C$24:$C$55,3,$D$24:$D$55,V17),COUNTIFS($I$24:$I$55,V17,$Q$24:$Q$55,3))</f>
        <v>3</v>
      </c>
      <c r="Z17" s="8">
        <f t="shared" ref="Z17:Z19" si="13">SUM(COUNTIFS($C$24:$C$55,2,$D$24:$D$55,V17),COUNTIFS($I$24:$I$55,V17,$Q$24:$Q$55,2))</f>
        <v>0</v>
      </c>
      <c r="AA17" s="8">
        <f t="shared" ref="AA17:AA19" si="14">SUM(COUNTIFS($C$24:$C$55,1,$D$24:$D$55,V17),COUNTIFS($I$24:$I$55,V17,$Q$24:$Q$55,1))</f>
        <v>0</v>
      </c>
      <c r="AB17" s="8">
        <f t="shared" ref="AB17:AB19" si="15">SUM(COUNTIFS($C$24:$C$55,0,$D$24:$D$55,V17),COUNTIFS($I$24:$I$55,V17,$Q$24:$Q$55,0))</f>
        <v>3</v>
      </c>
      <c r="AC17" s="37">
        <f>SUM(H25,H30,F37,H43,H48,F55)</f>
        <v>280</v>
      </c>
      <c r="AD17" s="37">
        <f>SUM(H55,F48,F43,H37,F30,F25)</f>
        <v>292</v>
      </c>
      <c r="AE17" s="37">
        <f t="shared" ref="AE17:AE19" si="16">AC17-AD17</f>
        <v>-12</v>
      </c>
      <c r="AF17" s="37">
        <f t="shared" ref="AF17:AF19" si="17">IF(OR($F$24="",$H$24=""),0,(X17/(W17*3)))</f>
        <v>0.5</v>
      </c>
      <c r="AG17" s="8">
        <f t="shared" ref="AG17:AG19" si="18">(X17*10^10)+((AC17+5000)*10^6)+AE17*100+U17</f>
        <v>95279998802</v>
      </c>
      <c r="AH17" s="8">
        <f>LARGE($AG$16:$AG$19,U17)</f>
        <v>95279998802</v>
      </c>
      <c r="AI17" s="8">
        <f>MATCH(AH17,$AG$16:$AG$19,0)</f>
        <v>2</v>
      </c>
      <c r="AJ17" s="3"/>
      <c r="AK17" s="2"/>
      <c r="AL17" s="72"/>
      <c r="AM17" s="66"/>
    </row>
    <row r="18" spans="3:39" ht="15.75" thickBot="1" x14ac:dyDescent="0.3">
      <c r="D18" s="34" t="s">
        <v>18</v>
      </c>
      <c r="E18" s="26" t="str">
        <f t="shared" si="0"/>
        <v>FCB BARCELONA 15</v>
      </c>
      <c r="F18" s="26">
        <f t="shared" si="1"/>
        <v>6</v>
      </c>
      <c r="G18" s="26">
        <f t="shared" si="2"/>
        <v>8</v>
      </c>
      <c r="H18" s="27">
        <f t="shared" si="3"/>
        <v>2</v>
      </c>
      <c r="I18" s="27">
        <f t="shared" si="4"/>
        <v>1</v>
      </c>
      <c r="J18" s="27">
        <f t="shared" si="5"/>
        <v>0</v>
      </c>
      <c r="K18" s="27">
        <f t="shared" si="6"/>
        <v>3</v>
      </c>
      <c r="L18" s="27">
        <f t="shared" si="7"/>
        <v>329</v>
      </c>
      <c r="M18" s="27">
        <f t="shared" si="8"/>
        <v>332</v>
      </c>
      <c r="N18" s="26">
        <f t="shared" si="9"/>
        <v>-3</v>
      </c>
      <c r="O18" s="43">
        <f t="shared" si="10"/>
        <v>0.44444444444444442</v>
      </c>
      <c r="Q18" s="9"/>
      <c r="R18" s="53"/>
      <c r="S18" s="9" t="s">
        <v>86</v>
      </c>
      <c r="T18" s="9"/>
      <c r="U18" s="6">
        <v>3</v>
      </c>
      <c r="V18" s="3" t="s">
        <v>102</v>
      </c>
      <c r="W18" s="8">
        <f t="shared" si="11"/>
        <v>6</v>
      </c>
      <c r="X18" s="8">
        <f>SUM(C25,C31,Q36,C43,C49,Q54)</f>
        <v>2</v>
      </c>
      <c r="Y18" s="8">
        <f t="shared" si="12"/>
        <v>0</v>
      </c>
      <c r="Z18" s="8">
        <f t="shared" si="13"/>
        <v>1</v>
      </c>
      <c r="AA18" s="8">
        <f t="shared" si="14"/>
        <v>0</v>
      </c>
      <c r="AB18" s="8">
        <f t="shared" si="15"/>
        <v>5</v>
      </c>
      <c r="AC18" s="37">
        <f>SUM(H54,F49,F43,H36,F31,F25)</f>
        <v>279</v>
      </c>
      <c r="AD18" s="37">
        <f>SUM(H25,H31,F36,H43,H49,F54)</f>
        <v>342</v>
      </c>
      <c r="AE18" s="37">
        <f t="shared" si="16"/>
        <v>-63</v>
      </c>
      <c r="AF18" s="37">
        <f t="shared" si="17"/>
        <v>0.1111111111111111</v>
      </c>
      <c r="AG18" s="8">
        <f t="shared" si="18"/>
        <v>25278993703</v>
      </c>
      <c r="AH18" s="8">
        <f t="shared" ref="AH18:AH19" si="19">LARGE($AG$16:$AG$19,U18)</f>
        <v>85328999701</v>
      </c>
      <c r="AI18" s="8">
        <f>MATCH(AH18,$AG$16:$AG$19,0)</f>
        <v>1</v>
      </c>
      <c r="AJ18" s="3"/>
      <c r="AK18" s="2"/>
      <c r="AL18" s="72"/>
      <c r="AM18" s="66"/>
    </row>
    <row r="19" spans="3:39" ht="15.75" thickBot="1" x14ac:dyDescent="0.3">
      <c r="D19" s="35" t="s">
        <v>19</v>
      </c>
      <c r="E19" s="28" t="str">
        <f t="shared" si="0"/>
        <v>IGORJUNIO I.F.C</v>
      </c>
      <c r="F19" s="28">
        <f t="shared" si="1"/>
        <v>6</v>
      </c>
      <c r="G19" s="28">
        <f t="shared" si="2"/>
        <v>2</v>
      </c>
      <c r="H19" s="29">
        <f t="shared" si="3"/>
        <v>0</v>
      </c>
      <c r="I19" s="29">
        <f t="shared" si="4"/>
        <v>1</v>
      </c>
      <c r="J19" s="29">
        <f t="shared" si="5"/>
        <v>0</v>
      </c>
      <c r="K19" s="29">
        <f t="shared" si="6"/>
        <v>5</v>
      </c>
      <c r="L19" s="29">
        <f t="shared" si="7"/>
        <v>279</v>
      </c>
      <c r="M19" s="29">
        <f t="shared" si="8"/>
        <v>342</v>
      </c>
      <c r="N19" s="28">
        <f t="shared" si="9"/>
        <v>-63</v>
      </c>
      <c r="O19" s="44">
        <f t="shared" si="10"/>
        <v>0.1111111111111111</v>
      </c>
      <c r="Q19" s="9"/>
      <c r="R19" s="54"/>
      <c r="S19" s="9" t="s">
        <v>63</v>
      </c>
      <c r="T19" s="9"/>
      <c r="U19" s="6">
        <v>4</v>
      </c>
      <c r="V19" s="3" t="s">
        <v>91</v>
      </c>
      <c r="W19" s="8">
        <f t="shared" si="11"/>
        <v>6</v>
      </c>
      <c r="X19" s="8">
        <f>SUM(C24,C30,C36,C42,C48,C54)</f>
        <v>13</v>
      </c>
      <c r="Y19" s="8">
        <f t="shared" si="12"/>
        <v>3</v>
      </c>
      <c r="Z19" s="8">
        <f t="shared" si="13"/>
        <v>2</v>
      </c>
      <c r="AA19" s="8">
        <f t="shared" si="14"/>
        <v>0</v>
      </c>
      <c r="AB19" s="8">
        <f t="shared" si="15"/>
        <v>1</v>
      </c>
      <c r="AC19" s="37">
        <f>SUM(F24,F30,F36,F42,F48,F54,)</f>
        <v>329</v>
      </c>
      <c r="AD19" s="37">
        <f>SUM(H54,H48,H42,H36,H30,H24)</f>
        <v>251</v>
      </c>
      <c r="AE19" s="37">
        <f t="shared" si="16"/>
        <v>78</v>
      </c>
      <c r="AF19" s="37">
        <f t="shared" si="17"/>
        <v>0.72222222222222221</v>
      </c>
      <c r="AG19" s="8">
        <f t="shared" si="18"/>
        <v>135329007804</v>
      </c>
      <c r="AH19" s="8">
        <f t="shared" si="19"/>
        <v>25278993703</v>
      </c>
      <c r="AI19" s="8">
        <f>MATCH(AH19,$AG$16:$AG$19,0)</f>
        <v>3</v>
      </c>
      <c r="AJ19" s="3"/>
      <c r="AK19" s="2"/>
      <c r="AL19" s="72"/>
      <c r="AM19" s="66"/>
    </row>
    <row r="20" spans="3:39" ht="15.75" thickBot="1" x14ac:dyDescent="0.3">
      <c r="Q20" s="9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2"/>
      <c r="AL20" s="72"/>
      <c r="AM20" s="66"/>
    </row>
    <row r="21" spans="3:39" x14ac:dyDescent="0.25">
      <c r="D21" s="148" t="s">
        <v>21</v>
      </c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50"/>
      <c r="Q21" s="9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2"/>
      <c r="AL21" s="72"/>
      <c r="AM21" s="66"/>
    </row>
    <row r="22" spans="3:39" ht="15.75" thickBot="1" x14ac:dyDescent="0.3">
      <c r="D22" s="151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3"/>
      <c r="Q22" s="9"/>
      <c r="T22" s="9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2"/>
      <c r="AL22" s="72"/>
      <c r="AM22" s="66"/>
    </row>
    <row r="23" spans="3:39" x14ac:dyDescent="0.25">
      <c r="Q23" s="9"/>
      <c r="T23" s="9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2"/>
      <c r="AL23" s="66"/>
      <c r="AM23" s="66"/>
    </row>
    <row r="24" spans="3:39" x14ac:dyDescent="0.25">
      <c r="C24" s="2">
        <f>IF(OR(F24="",H24=""),"",IF(F24=H24,1,IF(F24&lt;H24,0,IF(F24-H24&lt;10,2,IF(F24&gt;H24,3,SE)))))</f>
        <v>0</v>
      </c>
      <c r="D24" s="154" t="str">
        <f>V19</f>
        <v>Us Karas</v>
      </c>
      <c r="E24" s="154"/>
      <c r="F24" s="55">
        <v>19</v>
      </c>
      <c r="G24" s="56" t="s">
        <v>22</v>
      </c>
      <c r="H24" s="57">
        <v>44</v>
      </c>
      <c r="I24" s="154" t="str">
        <f>V16</f>
        <v>FCB BARCELONA 15</v>
      </c>
      <c r="J24" s="154"/>
      <c r="K24" s="154"/>
      <c r="L24" s="154"/>
      <c r="M24" s="154"/>
      <c r="N24" s="154"/>
      <c r="O24" s="154"/>
      <c r="P24" s="154"/>
      <c r="Q24" s="2">
        <f>IF(OR(H24="",F24=""),"",IF(H24=F24,1,IF(H24&lt;F24,0,IF(H24-F24&lt;10,2,IF(H24&gt;F24,3,SE)))))</f>
        <v>3</v>
      </c>
      <c r="R24" s="9"/>
      <c r="S24" s="9"/>
      <c r="T24" s="9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2"/>
      <c r="AL24" s="66"/>
      <c r="AM24" s="66"/>
    </row>
    <row r="25" spans="3:39" x14ac:dyDescent="0.25">
      <c r="C25" s="2">
        <f>IF(OR(F25="",H25=""),"",IF(F25=H25,1,IF(F25&lt;H25,0,IF(F25-H25&lt;10,2,IF(F25&gt;H25,3,SE)))))</f>
        <v>2</v>
      </c>
      <c r="D25" s="154" t="str">
        <f>V18</f>
        <v>IGORJUNIO I.F.C</v>
      </c>
      <c r="E25" s="154"/>
      <c r="F25" s="57">
        <v>32</v>
      </c>
      <c r="G25" s="56" t="s">
        <v>22</v>
      </c>
      <c r="H25" s="55">
        <v>27</v>
      </c>
      <c r="I25" s="154" t="str">
        <f>V17</f>
        <v>Stars United C.F</v>
      </c>
      <c r="J25" s="154"/>
      <c r="K25" s="154"/>
      <c r="L25" s="154"/>
      <c r="M25" s="154"/>
      <c r="N25" s="154"/>
      <c r="O25" s="154"/>
      <c r="P25" s="154"/>
      <c r="Q25" s="2">
        <f>IF(OR(H25="",F25=""),"",IF(H25=F25,1,IF(H25&lt;F25,0,IF(H25-F25&lt;10,2,IF(H25&gt;F25,3,SE)))))</f>
        <v>0</v>
      </c>
      <c r="U25" s="3" t="s">
        <v>23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2"/>
      <c r="AL25" s="66"/>
      <c r="AM25" s="66"/>
    </row>
    <row r="26" spans="3:39" ht="15.75" thickBot="1" x14ac:dyDescent="0.3">
      <c r="C26" s="2" t="str">
        <f>IF(OR(F26="",H26=""),"",IF(F26=H26,1,IF(F26&lt;H26,0,IF(F26-H26&lt;10,2,IF(F26&gt;H26,3,SE)))))</f>
        <v/>
      </c>
      <c r="Q26" s="2" t="str">
        <f>IF(OR(H26="",F26=""),"",IF(H26=F26,1,IF(H26&lt;F26,0,IF(H26-F26&lt;10,2,IF(H26&gt;F26,3,SE)))))</f>
        <v/>
      </c>
      <c r="R26" s="9"/>
      <c r="S26" s="9"/>
      <c r="T26" s="9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2"/>
      <c r="AL26" s="66"/>
      <c r="AM26" s="66"/>
    </row>
    <row r="27" spans="3:39" x14ac:dyDescent="0.25">
      <c r="C27" s="2" t="str">
        <f>IF(OR(F27="",H27=""),"",IF(F27=H27,1,IF(F27&lt;H27,0,IF(F27-H27&lt;10,2,IF(F27&gt;H27,3,SE)))))</f>
        <v/>
      </c>
      <c r="D27" s="142" t="s">
        <v>24</v>
      </c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4"/>
      <c r="Q27" s="2" t="str">
        <f>IF(OR(H27="",F27=""),"",IF(H27=F27,1,IF(H27&lt;F27,0,IF(H27-F27&lt;10,2,IF(H27&gt;F27,3,SE)))))</f>
        <v/>
      </c>
      <c r="R27" s="9"/>
      <c r="S27" s="9"/>
      <c r="T27" s="9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2"/>
      <c r="AL27" s="66"/>
      <c r="AM27" s="66"/>
    </row>
    <row r="28" spans="3:39" ht="15.75" thickBot="1" x14ac:dyDescent="0.3">
      <c r="C28" s="2" t="str">
        <f>IF(OR(F28="",H28=""),"",IF(F28=H28,1,IF(F28&lt;H28,0,IF(F28-H28&lt;10,2,IF(F28&gt;H28,3,SE)))))</f>
        <v/>
      </c>
      <c r="D28" s="145"/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6"/>
      <c r="P28" s="147"/>
      <c r="Q28" s="2" t="str">
        <f>IF(OR(H28="",F28=""),"",IF(H28=F28,1,IF(H28&lt;F28,0,IF(H28-F28&lt;10,2,IF(H28&gt;F28,3,SE)))))</f>
        <v/>
      </c>
      <c r="R28" s="9"/>
      <c r="S28" s="9"/>
      <c r="T28" s="9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2"/>
      <c r="AL28" s="66"/>
      <c r="AM28" s="66"/>
    </row>
    <row r="29" spans="3:39" x14ac:dyDescent="0.25">
      <c r="C29" s="2" t="str">
        <f>IF(OR(F29="",H29=""),"",IF(F29=H29,1,IF(F29&lt;H29,0,IF(F29-H29&lt;10,2,IF(F29&gt;H29,3,SE)))))</f>
        <v/>
      </c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2" t="str">
        <f>IF(OR(H29="",F29=""),"",IF(H29=F29,1,IF(H29&lt;F29,0,IF(H29-F29&lt;10,2,IF(H29&gt;F29,3,SE)))))</f>
        <v/>
      </c>
      <c r="R29" s="9"/>
      <c r="S29" s="9"/>
      <c r="T29" s="9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2"/>
      <c r="AL29" s="66"/>
      <c r="AM29" s="66"/>
    </row>
    <row r="30" spans="3:39" x14ac:dyDescent="0.25">
      <c r="C30" s="2">
        <f>IF(OR(F30="",H30=""),"",IF(F30=H30,1,IF(F30&lt;H30,0,IF(F30-H30&lt;10,2,IF(F30&gt;H30,3,SE)))))</f>
        <v>2</v>
      </c>
      <c r="D30" s="155" t="str">
        <f>V19</f>
        <v>Us Karas</v>
      </c>
      <c r="E30" s="155"/>
      <c r="F30" s="57">
        <v>59</v>
      </c>
      <c r="G30" s="58" t="s">
        <v>22</v>
      </c>
      <c r="H30" s="55">
        <v>57</v>
      </c>
      <c r="I30" s="155" t="str">
        <f>V17</f>
        <v>Stars United C.F</v>
      </c>
      <c r="J30" s="155"/>
      <c r="K30" s="155"/>
      <c r="L30" s="155"/>
      <c r="M30" s="155"/>
      <c r="N30" s="155"/>
      <c r="O30" s="155"/>
      <c r="P30" s="155"/>
      <c r="Q30" s="2">
        <f>IF(OR(H30="",F30=""),"",IF(H30=F30,1,IF(H30&lt;F30,0,IF(H30-F30&lt;10,2,IF(H30&gt;F30,3,SE)))))</f>
        <v>0</v>
      </c>
      <c r="R30" s="9"/>
      <c r="S30" s="9"/>
      <c r="T30" s="9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2"/>
      <c r="AL30" s="66"/>
      <c r="AM30" s="66"/>
    </row>
    <row r="31" spans="3:39" x14ac:dyDescent="0.25">
      <c r="C31" s="2">
        <f>IF(OR(F31="",H31=""),"",IF(F31=H31,1,IF(F31&lt;H31,0,IF(F31-H31&lt;10,2,IF(F31&gt;H31,3,SE)))))</f>
        <v>0</v>
      </c>
      <c r="D31" s="155" t="str">
        <f>V18</f>
        <v>IGORJUNIO I.F.C</v>
      </c>
      <c r="E31" s="155"/>
      <c r="F31" s="55">
        <v>48</v>
      </c>
      <c r="G31" s="58" t="s">
        <v>22</v>
      </c>
      <c r="H31" s="57">
        <v>67</v>
      </c>
      <c r="I31" s="155" t="str">
        <f>V16</f>
        <v>FCB BARCELONA 15</v>
      </c>
      <c r="J31" s="155"/>
      <c r="K31" s="155"/>
      <c r="L31" s="155"/>
      <c r="M31" s="155"/>
      <c r="N31" s="155"/>
      <c r="O31" s="155"/>
      <c r="P31" s="155"/>
      <c r="Q31" s="2">
        <f>IF(OR(H31="",F31=""),"",IF(H31=F31,1,IF(H31&lt;F31,0,IF(H31-F31&lt;10,2,IF(H31&gt;F31,3,SE)))))</f>
        <v>3</v>
      </c>
      <c r="R31" s="9"/>
      <c r="S31" s="9"/>
      <c r="T31" s="9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2"/>
    </row>
    <row r="32" spans="3:39" ht="15.75" thickBot="1" x14ac:dyDescent="0.3">
      <c r="C32" s="2" t="str">
        <f>IF(OR(F32="",H32=""),"",IF(F32=H32,1,IF(F32&lt;H32,0,IF(F32-H32&lt;10,2,IF(F32&gt;H32,3,SE)))))</f>
        <v/>
      </c>
      <c r="D32" s="59"/>
      <c r="E32" s="59"/>
      <c r="F32" s="65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2" t="str">
        <f>IF(OR(H32="",F32=""),"",IF(H32=F32,1,IF(H32&lt;F32,0,IF(H32-F32&lt;10,2,IF(H32&gt;F32,3,SE)))))</f>
        <v/>
      </c>
      <c r="R32" s="9"/>
      <c r="S32" s="9"/>
      <c r="T32" s="9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2"/>
    </row>
    <row r="33" spans="3:37" x14ac:dyDescent="0.25">
      <c r="C33" s="2" t="str">
        <f>IF(OR(F33="",H33=""),"",IF(F33=H33,1,IF(F33&lt;H33,0,IF(F33-H33&lt;10,2,IF(F33&gt;H33,3,SE)))))</f>
        <v/>
      </c>
      <c r="D33" s="142" t="s">
        <v>25</v>
      </c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4"/>
      <c r="Q33" s="2" t="str">
        <f>IF(OR(H33="",F33=""),"",IF(H33=F33,1,IF(H33&lt;F33,0,IF(H33-F33&lt;10,2,IF(H33&gt;F33,3,SE)))))</f>
        <v/>
      </c>
      <c r="R33" s="9"/>
      <c r="S33" s="9"/>
      <c r="T33" s="9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2"/>
    </row>
    <row r="34" spans="3:37" ht="15.75" thickBot="1" x14ac:dyDescent="0.3">
      <c r="C34" s="2" t="str">
        <f>IF(OR(F34="",H34=""),"",IF(F34=H34,1,IF(F34&lt;H34,0,IF(F34-H34&lt;10,2,IF(F34&gt;H34,3,SE)))))</f>
        <v/>
      </c>
      <c r="D34" s="145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7"/>
      <c r="Q34" s="2" t="str">
        <f>IF(OR(H34="",F34=""),"",IF(H34=F34,1,IF(H34&lt;F34,0,IF(H34-F34&lt;10,2,IF(H34&gt;F34,3,SE)))))</f>
        <v/>
      </c>
      <c r="R34" s="9"/>
      <c r="S34" s="9"/>
      <c r="T34" s="9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2"/>
    </row>
    <row r="35" spans="3:37" x14ac:dyDescent="0.25">
      <c r="C35" s="2" t="str">
        <f>IF(OR(F35="",H35=""),"",IF(F35=H35,1,IF(F35&lt;H35,0,IF(F35-H35&lt;10,2,IF(F35&gt;H35,3,SE)))))</f>
        <v/>
      </c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2" t="str">
        <f>IF(OR(H35="",F35=""),"",IF(H35=F35,1,IF(H35&lt;F35,0,IF(H35-F35&lt;10,2,IF(H35&gt;F35,3,SE)))))</f>
        <v/>
      </c>
      <c r="R35" s="9"/>
      <c r="S35" s="9"/>
      <c r="T35" s="9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2"/>
    </row>
    <row r="36" spans="3:37" x14ac:dyDescent="0.25">
      <c r="C36" s="2">
        <f>IF(OR(F36="",H36=""),"",IF(F36=H36,1,IF(F36&lt;H36,0,IF(F36-H36&lt;10,2,IF(F36&gt;H36,3,SE)))))</f>
        <v>2</v>
      </c>
      <c r="D36" s="155" t="str">
        <f>V19</f>
        <v>Us Karas</v>
      </c>
      <c r="E36" s="155"/>
      <c r="F36" s="57">
        <v>41</v>
      </c>
      <c r="G36" s="58" t="s">
        <v>22</v>
      </c>
      <c r="H36" s="55">
        <v>32</v>
      </c>
      <c r="I36" s="155" t="str">
        <f>V18</f>
        <v>IGORJUNIO I.F.C</v>
      </c>
      <c r="J36" s="155"/>
      <c r="K36" s="155"/>
      <c r="L36" s="155"/>
      <c r="M36" s="155"/>
      <c r="N36" s="155"/>
      <c r="O36" s="155"/>
      <c r="P36" s="155"/>
      <c r="Q36" s="2">
        <f>IF(OR(H36="",F36=""),"",IF(H36=F36,1,IF(H36&lt;F36,0,IF(H36-F36&lt;10,2,IF(H36&gt;F36,3,SE)))))</f>
        <v>0</v>
      </c>
      <c r="R36" s="9"/>
      <c r="S36" s="9"/>
      <c r="T36" s="9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2"/>
    </row>
    <row r="37" spans="3:37" x14ac:dyDescent="0.25">
      <c r="C37" s="2">
        <f>IF(OR(F37="",H37=""),"",IF(F37=H37,1,IF(F37&lt;H37,0,IF(F37-H37&lt;10,2,IF(F37&gt;H37,3,SE)))))</f>
        <v>3</v>
      </c>
      <c r="D37" s="155" t="str">
        <f>V17</f>
        <v>Stars United C.F</v>
      </c>
      <c r="E37" s="155"/>
      <c r="F37" s="57">
        <v>56</v>
      </c>
      <c r="G37" s="58" t="s">
        <v>22</v>
      </c>
      <c r="H37" s="55">
        <v>43</v>
      </c>
      <c r="I37" s="155" t="str">
        <f>V16</f>
        <v>FCB BARCELONA 15</v>
      </c>
      <c r="J37" s="155"/>
      <c r="K37" s="155"/>
      <c r="L37" s="155"/>
      <c r="M37" s="155"/>
      <c r="N37" s="155"/>
      <c r="O37" s="155"/>
      <c r="P37" s="155"/>
      <c r="Q37" s="2">
        <f>IF(OR(H37="",F37=""),"",IF(H37=F37,1,IF(H37&lt;F37,0,IF(H37-F37&lt;10,2,IF(H37&gt;F37,3,SE)))))</f>
        <v>0</v>
      </c>
      <c r="R37" s="9"/>
      <c r="S37" s="9"/>
      <c r="T37" s="9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2"/>
    </row>
    <row r="38" spans="3:37" ht="15.75" thickBot="1" x14ac:dyDescent="0.3">
      <c r="C38" s="2" t="str">
        <f>IF(OR(F38="",H38=""),"",IF(F38=H38,1,IF(F38&lt;H38,0,IF(F38-H38&lt;10,2,IF(F38&gt;H38,3,SE)))))</f>
        <v/>
      </c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2" t="str">
        <f>IF(OR(H38="",F38=""),"",IF(H38=F38,1,IF(H38&lt;F38,0,IF(H38-F38&lt;10,2,IF(H38&gt;F38,3,SE)))))</f>
        <v/>
      </c>
      <c r="R38" s="9"/>
      <c r="S38" s="9"/>
      <c r="T38" s="9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2"/>
    </row>
    <row r="39" spans="3:37" x14ac:dyDescent="0.25">
      <c r="C39" s="2" t="str">
        <f>IF(OR(F39="",H39=""),"",IF(F39=H39,1,IF(F39&lt;H39,0,IF(F39-H39&lt;10,2,IF(F39&gt;H39,3,SE)))))</f>
        <v/>
      </c>
      <c r="D39" s="142" t="s">
        <v>26</v>
      </c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4"/>
      <c r="Q39" s="2" t="str">
        <f>IF(OR(H39="",F39=""),"",IF(H39=F39,1,IF(H39&lt;F39,0,IF(H39-F39&lt;10,2,IF(H39&gt;F39,3,SE)))))</f>
        <v/>
      </c>
      <c r="R39" s="9"/>
      <c r="S39" s="9"/>
      <c r="T39" s="9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2"/>
    </row>
    <row r="40" spans="3:37" ht="15.75" thickBot="1" x14ac:dyDescent="0.3">
      <c r="C40" s="2" t="str">
        <f>IF(OR(F40="",H40=""),"",IF(F40=H40,1,IF(F40&lt;H40,0,IF(F40-H40&lt;10,2,IF(F40&gt;H40,3,SE)))))</f>
        <v/>
      </c>
      <c r="D40" s="145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6"/>
      <c r="P40" s="147"/>
      <c r="Q40" s="2" t="str">
        <f>IF(OR(H40="",F40=""),"",IF(H40=F40,1,IF(H40&lt;F40,0,IF(H40-F40&lt;10,2,IF(H40&gt;F40,3,SE)))))</f>
        <v/>
      </c>
      <c r="R40" s="9"/>
      <c r="S40" s="9"/>
      <c r="T40" s="9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2"/>
    </row>
    <row r="41" spans="3:37" x14ac:dyDescent="0.25">
      <c r="C41" s="2" t="str">
        <f>IF(OR(F41="",H41=""),"",IF(F41=H41,1,IF(F41&lt;H41,0,IF(F41-H41&lt;10,2,IF(F41&gt;H41,3,SE)))))</f>
        <v/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2" t="str">
        <f>IF(OR(H41="",F41=""),"",IF(H41=F41,1,IF(H41&lt;F41,0,IF(H41-F41&lt;10,2,IF(H41&gt;F41,3,SE)))))</f>
        <v/>
      </c>
      <c r="R41" s="9"/>
      <c r="S41" s="9"/>
      <c r="T41" s="9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2"/>
    </row>
    <row r="42" spans="3:37" x14ac:dyDescent="0.25">
      <c r="C42" s="2">
        <f>IF(OR(F42="",H42=""),"",IF(F42=H42,1,IF(F42&lt;H42,0,IF(F42-H42&lt;10,2,IF(F42&gt;H42,3,SE)))))</f>
        <v>3</v>
      </c>
      <c r="D42" s="155" t="str">
        <f>V19</f>
        <v>Us Karas</v>
      </c>
      <c r="E42" s="155"/>
      <c r="F42" s="57">
        <v>65</v>
      </c>
      <c r="G42" s="58" t="s">
        <v>22</v>
      </c>
      <c r="H42" s="55">
        <v>45</v>
      </c>
      <c r="I42" s="155" t="str">
        <f>V16</f>
        <v>FCB BARCELONA 15</v>
      </c>
      <c r="J42" s="155"/>
      <c r="K42" s="155"/>
      <c r="L42" s="155"/>
      <c r="M42" s="155"/>
      <c r="N42" s="155"/>
      <c r="O42" s="155"/>
      <c r="P42" s="155"/>
      <c r="Q42" s="2">
        <f>IF(OR(H42="",F42=""),"",IF(H42=F42,1,IF(H42&lt;F42,0,IF(H42-F42&lt;10,2,IF(H42&gt;F42,3,SE)))))</f>
        <v>0</v>
      </c>
      <c r="R42" s="9"/>
      <c r="S42" s="9"/>
      <c r="T42" s="9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2"/>
    </row>
    <row r="43" spans="3:37" x14ac:dyDescent="0.25">
      <c r="C43" s="2">
        <f>IF(OR(F43="",H43=""),"",IF(F43=H43,1,IF(F43&lt;H43,0,IF(F43-H43&lt;10,2,IF(F43&gt;H43,3,SE)))))</f>
        <v>0</v>
      </c>
      <c r="D43" s="155" t="str">
        <f>V18</f>
        <v>IGORJUNIO I.F.C</v>
      </c>
      <c r="E43" s="155"/>
      <c r="F43" s="55">
        <v>40</v>
      </c>
      <c r="G43" s="58" t="s">
        <v>22</v>
      </c>
      <c r="H43" s="57">
        <v>50</v>
      </c>
      <c r="I43" s="155" t="str">
        <f>V17</f>
        <v>Stars United C.F</v>
      </c>
      <c r="J43" s="155"/>
      <c r="K43" s="155"/>
      <c r="L43" s="155"/>
      <c r="M43" s="155"/>
      <c r="N43" s="155"/>
      <c r="O43" s="155"/>
      <c r="P43" s="155"/>
      <c r="Q43" s="2">
        <f>IF(OR(H43="",F43=""),"",IF(H43=F43,1,IF(H43&lt;F43,0,IF(H43-F43&lt;10,2,IF(H43&gt;F43,3,SE)))))</f>
        <v>3</v>
      </c>
      <c r="R43" s="9"/>
      <c r="S43" s="9"/>
      <c r="T43" s="9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2"/>
    </row>
    <row r="44" spans="3:37" ht="15.75" thickBot="1" x14ac:dyDescent="0.3">
      <c r="C44" s="2" t="str">
        <f>IF(OR(F44="",H44=""),"",IF(F44=H44,1,IF(F44&lt;H44,0,IF(F44-H44&lt;10,2,IF(F44&gt;H44,3,SE)))))</f>
        <v/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2" t="str">
        <f>IF(OR(H44="",F44=""),"",IF(H44=F44,1,IF(H44&lt;F44,0,IF(H44-F44&lt;10,2,IF(H44&gt;F44,3,SE)))))</f>
        <v/>
      </c>
      <c r="R44" s="9"/>
      <c r="S44" s="9"/>
      <c r="T44" s="9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2"/>
    </row>
    <row r="45" spans="3:37" x14ac:dyDescent="0.25">
      <c r="C45" s="2" t="str">
        <f>IF(OR(F45="",H45=""),"",IF(F45=H45,1,IF(F45&lt;H45,0,IF(F45-H45&lt;10,2,IF(F45&gt;H45,3,SE)))))</f>
        <v/>
      </c>
      <c r="D45" s="142" t="s">
        <v>27</v>
      </c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4"/>
      <c r="Q45" s="2" t="str">
        <f>IF(OR(H45="",F45=""),"",IF(H45=F45,1,IF(H45&lt;F45,0,IF(H45-F45&lt;10,2,IF(H45&gt;F45,3,SE)))))</f>
        <v/>
      </c>
      <c r="R45" s="9"/>
      <c r="S45" s="9"/>
      <c r="T45" s="9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2"/>
    </row>
    <row r="46" spans="3:37" ht="15.75" thickBot="1" x14ac:dyDescent="0.3">
      <c r="C46" s="2" t="str">
        <f>IF(OR(F46="",H46=""),"",IF(F46=H46,1,IF(F46&lt;H46,0,IF(F46-H46&lt;10,2,IF(F46&gt;H46,3,SE)))))</f>
        <v/>
      </c>
      <c r="D46" s="145"/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7"/>
      <c r="Q46" s="2" t="str">
        <f>IF(OR(H46="",F46=""),"",IF(H46=F46,1,IF(H46&lt;F46,0,IF(H46-F46&lt;10,2,IF(H46&gt;F46,3,SE)))))</f>
        <v/>
      </c>
      <c r="R46" s="9"/>
      <c r="S46" s="9"/>
      <c r="T46" s="9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2"/>
    </row>
    <row r="47" spans="3:37" x14ac:dyDescent="0.25">
      <c r="C47" s="2" t="str">
        <f>IF(OR(F47="",H47=""),"",IF(F47=H47,1,IF(F47&lt;H47,0,IF(F47-H47&lt;10,2,IF(F47&gt;H47,3,SE)))))</f>
        <v/>
      </c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2" t="str">
        <f>IF(OR(H47="",F47=""),"",IF(H47=F47,1,IF(H47&lt;F47,0,IF(H47-F47&lt;10,2,IF(H47&gt;F47,3,SE)))))</f>
        <v/>
      </c>
      <c r="R47" s="9"/>
      <c r="S47" s="9"/>
      <c r="T47" s="9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2"/>
    </row>
    <row r="48" spans="3:37" x14ac:dyDescent="0.25">
      <c r="C48" s="2">
        <f>IF(OR(F48="",H48=""),"",IF(F48=H48,1,IF(F48&lt;H48,0,IF(F48-H48&lt;10,2,IF(F48&gt;H48,3,SE)))))</f>
        <v>3</v>
      </c>
      <c r="D48" s="155" t="str">
        <f>V19</f>
        <v>Us Karas</v>
      </c>
      <c r="E48" s="155"/>
      <c r="F48" s="57">
        <v>70</v>
      </c>
      <c r="G48" s="58" t="s">
        <v>22</v>
      </c>
      <c r="H48" s="55">
        <v>25</v>
      </c>
      <c r="I48" s="155" t="str">
        <f>V17</f>
        <v>Stars United C.F</v>
      </c>
      <c r="J48" s="155"/>
      <c r="K48" s="155"/>
      <c r="L48" s="155"/>
      <c r="M48" s="155"/>
      <c r="N48" s="155"/>
      <c r="O48" s="155"/>
      <c r="P48" s="155"/>
      <c r="Q48" s="2">
        <f>IF(OR(H48="",F48=""),"",IF(H48=F48,1,IF(H48&lt;F48,0,IF(H48-F48&lt;10,2,IF(H48&gt;F48,3,SE)))))</f>
        <v>0</v>
      </c>
      <c r="R48" s="9"/>
      <c r="S48" s="9"/>
      <c r="T48" s="9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2"/>
    </row>
    <row r="49" spans="3:39" x14ac:dyDescent="0.25">
      <c r="C49" s="2">
        <f>IF(OR(F49="",H49=""),"",IF(F49=H49,1,IF(F49&lt;H49,0,IF(F49-H49&lt;10,2,IF(F49&gt;H49,3,SE)))))</f>
        <v>0</v>
      </c>
      <c r="D49" s="155" t="str">
        <f>V18</f>
        <v>IGORJUNIO I.F.C</v>
      </c>
      <c r="E49" s="155"/>
      <c r="F49" s="55">
        <v>79</v>
      </c>
      <c r="G49" s="58" t="s">
        <v>22</v>
      </c>
      <c r="H49" s="57">
        <v>82</v>
      </c>
      <c r="I49" s="155" t="str">
        <f>V16</f>
        <v>FCB BARCELONA 15</v>
      </c>
      <c r="J49" s="155"/>
      <c r="K49" s="155"/>
      <c r="L49" s="155"/>
      <c r="M49" s="155"/>
      <c r="N49" s="155"/>
      <c r="O49" s="155"/>
      <c r="P49" s="155"/>
      <c r="Q49" s="2">
        <f>IF(OR(H49="",F49=""),"",IF(H49=F49,1,IF(H49&lt;F49,0,IF(H49-F49&lt;10,2,IF(H49&gt;F49,3,SE)))))</f>
        <v>2</v>
      </c>
      <c r="R49" s="9"/>
      <c r="S49" s="9"/>
      <c r="T49" s="9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2"/>
    </row>
    <row r="50" spans="3:39" ht="15.75" thickBot="1" x14ac:dyDescent="0.3">
      <c r="C50" s="2" t="str">
        <f>IF(OR(F50="",H50=""),"",IF(F50=H50,1,IF(F50&lt;H50,0,IF(F50-H50&lt;10,2,IF(F50&gt;H50,3,SE)))))</f>
        <v/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2" t="str">
        <f>IF(OR(H50="",F50=""),"",IF(H50=F50,1,IF(H50&lt;F50,0,IF(H50-F50&lt;10,2,IF(H50&gt;F50,3,SE)))))</f>
        <v/>
      </c>
      <c r="R50" s="9"/>
      <c r="S50" s="9"/>
      <c r="T50" s="9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2"/>
    </row>
    <row r="51" spans="3:39" x14ac:dyDescent="0.25">
      <c r="C51" s="2" t="str">
        <f>IF(OR(F51="",H51=""),"",IF(F51=H51,1,IF(F51&lt;H51,0,IF(F51-H51&lt;10,2,IF(F51&gt;H51,3,SE)))))</f>
        <v/>
      </c>
      <c r="D51" s="142" t="s">
        <v>28</v>
      </c>
      <c r="E51" s="143"/>
      <c r="F51" s="143"/>
      <c r="G51" s="143"/>
      <c r="H51" s="143"/>
      <c r="I51" s="143"/>
      <c r="J51" s="143"/>
      <c r="K51" s="143"/>
      <c r="L51" s="143"/>
      <c r="M51" s="143"/>
      <c r="N51" s="143"/>
      <c r="O51" s="143"/>
      <c r="P51" s="144"/>
      <c r="Q51" s="2" t="str">
        <f>IF(OR(H51="",F51=""),"",IF(H51=F51,1,IF(H51&lt;F51,0,IF(H51-F51&lt;10,2,IF(H51&gt;F51,3,SE)))))</f>
        <v/>
      </c>
      <c r="R51" s="9"/>
      <c r="S51" s="9"/>
      <c r="T51" s="9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2"/>
    </row>
    <row r="52" spans="3:39" ht="15.75" thickBot="1" x14ac:dyDescent="0.3">
      <c r="C52" s="2" t="str">
        <f>IF(OR(F52="",H52=""),"",IF(F52=H52,1,IF(F52&lt;H52,0,IF(F52-H52&lt;10,2,IF(F52&gt;H52,3,SE)))))</f>
        <v/>
      </c>
      <c r="D52" s="145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146"/>
      <c r="P52" s="147"/>
      <c r="Q52" s="2" t="str">
        <f>IF(OR(H52="",F52=""),"",IF(H52=F52,1,IF(H52&lt;F52,0,IF(H52-F52&lt;10,2,IF(H52&gt;F52,3,SE)))))</f>
        <v/>
      </c>
      <c r="R52" s="9"/>
      <c r="S52" s="9"/>
      <c r="T52" s="9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2"/>
    </row>
    <row r="53" spans="3:39" x14ac:dyDescent="0.25">
      <c r="C53" s="2" t="str">
        <f>IF(OR(F53="",H53=""),"",IF(F53=H53,1,IF(F53&lt;H53,0,IF(F53-H53&lt;10,2,IF(F53&gt;H53,3,SE)))))</f>
        <v/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2" t="str">
        <f>IF(OR(H53="",F53=""),"",IF(H53=F53,1,IF(H53&lt;F53,0,IF(H53-F53&lt;10,2,IF(H53&gt;F53,3,SE)))))</f>
        <v/>
      </c>
      <c r="R53" s="9"/>
      <c r="S53" s="9"/>
      <c r="T53" s="9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2"/>
    </row>
    <row r="54" spans="3:39" x14ac:dyDescent="0.25">
      <c r="C54" s="2">
        <f>IF(OR(F54="",H54=""),"",IF(F54=H54,1,IF(F54&lt;H54,0,IF(F54-H54&lt;10,2,IF(F54&gt;H54,3,SE)))))</f>
        <v>3</v>
      </c>
      <c r="D54" s="155" t="str">
        <f>V19</f>
        <v>Us Karas</v>
      </c>
      <c r="E54" s="155"/>
      <c r="F54" s="57">
        <v>75</v>
      </c>
      <c r="G54" s="56" t="s">
        <v>22</v>
      </c>
      <c r="H54" s="55">
        <v>48</v>
      </c>
      <c r="I54" s="155" t="str">
        <f>V18</f>
        <v>IGORJUNIO I.F.C</v>
      </c>
      <c r="J54" s="155"/>
      <c r="K54" s="155"/>
      <c r="L54" s="155"/>
      <c r="M54" s="155"/>
      <c r="N54" s="155"/>
      <c r="O54" s="155"/>
      <c r="P54" s="155"/>
      <c r="Q54" s="2">
        <f>IF(OR(H54="",F54=""),"",IF(H54=F54,1,IF(H54&lt;F54,0,IF(H54-F54&lt;10,2,IF(H54&gt;F54,3,SE)))))</f>
        <v>0</v>
      </c>
      <c r="R54" s="9"/>
      <c r="S54" s="9"/>
      <c r="T54" s="9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2"/>
    </row>
    <row r="55" spans="3:39" x14ac:dyDescent="0.25">
      <c r="C55" s="2">
        <f>IF(OR(F55="",H55=""),"",IF(F55=H55,1,IF(F55&lt;H55,0,IF(F55-H55&lt;10,2,IF(F55&gt;H55,3,SE)))))</f>
        <v>3</v>
      </c>
      <c r="D55" s="155" t="str">
        <f>V17</f>
        <v>Stars United C.F</v>
      </c>
      <c r="E55" s="155"/>
      <c r="F55" s="57">
        <v>65</v>
      </c>
      <c r="G55" s="56" t="s">
        <v>22</v>
      </c>
      <c r="H55" s="55">
        <v>48</v>
      </c>
      <c r="I55" s="155" t="str">
        <f>V16</f>
        <v>FCB BARCELONA 15</v>
      </c>
      <c r="J55" s="155"/>
      <c r="K55" s="155"/>
      <c r="L55" s="155"/>
      <c r="M55" s="155"/>
      <c r="N55" s="155"/>
      <c r="O55" s="155"/>
      <c r="P55" s="155"/>
      <c r="Q55" s="2">
        <f>IF(OR(H55="",F55=""),"",IF(H55=F55,1,IF(H55&lt;F55,0,IF(H55-F55&lt;10,2,IF(H55&gt;F55,3,SE)))))</f>
        <v>0</v>
      </c>
      <c r="R55" s="9"/>
      <c r="S55" s="9"/>
      <c r="T55" s="9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2"/>
    </row>
    <row r="56" spans="3:39" x14ac:dyDescent="0.25">
      <c r="C56" s="2"/>
      <c r="D56" s="62"/>
      <c r="E56" s="62"/>
      <c r="F56" s="63"/>
      <c r="G56" s="64"/>
      <c r="H56" s="63"/>
      <c r="I56" s="62"/>
      <c r="J56" s="62"/>
      <c r="K56" s="62"/>
      <c r="L56" s="62"/>
      <c r="M56" s="62"/>
      <c r="N56" s="62"/>
      <c r="O56" s="62"/>
      <c r="P56" s="62"/>
      <c r="Q56" s="2"/>
      <c r="R56" s="9"/>
      <c r="S56" s="9"/>
      <c r="T56" s="9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2"/>
    </row>
    <row r="57" spans="3:39" x14ac:dyDescent="0.25">
      <c r="C57" s="2"/>
      <c r="D57" s="62"/>
      <c r="E57" s="62"/>
      <c r="F57" s="63"/>
      <c r="G57" s="64"/>
      <c r="H57" s="63"/>
      <c r="I57" s="62"/>
      <c r="J57" s="62"/>
      <c r="K57" s="62"/>
      <c r="L57" s="62"/>
      <c r="M57" s="62"/>
      <c r="N57" s="62"/>
      <c r="O57" s="62"/>
      <c r="P57" s="62"/>
      <c r="Q57" s="2"/>
      <c r="R57" s="9"/>
      <c r="S57" s="9"/>
      <c r="T57" s="9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2"/>
    </row>
    <row r="58" spans="3:39" x14ac:dyDescent="0.25">
      <c r="C58" s="2"/>
      <c r="D58" s="62"/>
      <c r="E58" s="62"/>
      <c r="F58" s="63"/>
      <c r="G58" s="64"/>
      <c r="H58" s="63"/>
      <c r="I58" s="62"/>
      <c r="J58" s="62"/>
      <c r="K58" s="62"/>
      <c r="L58" s="62"/>
      <c r="M58" s="62"/>
      <c r="N58" s="62"/>
      <c r="O58" s="62"/>
      <c r="P58" s="62"/>
      <c r="Q58" s="2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2"/>
      <c r="AL58" s="66"/>
      <c r="AM58" s="66"/>
    </row>
    <row r="59" spans="3:39" x14ac:dyDescent="0.25">
      <c r="C59" s="2"/>
      <c r="D59" s="62"/>
      <c r="E59" s="62"/>
      <c r="F59" s="63"/>
      <c r="G59" s="64"/>
      <c r="H59" s="63"/>
      <c r="I59" s="62"/>
      <c r="J59" s="62"/>
      <c r="K59" s="62"/>
      <c r="L59" s="62"/>
      <c r="M59" s="62"/>
      <c r="N59" s="62"/>
      <c r="O59" s="62"/>
      <c r="P59" s="62"/>
      <c r="Q59" s="2"/>
      <c r="R59" s="9" t="s">
        <v>7</v>
      </c>
      <c r="S59" s="9"/>
      <c r="T59" s="9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2"/>
      <c r="AL59" s="66"/>
      <c r="AM59" s="66"/>
    </row>
    <row r="60" spans="3:39" x14ac:dyDescent="0.25">
      <c r="C60" s="2"/>
      <c r="D60" s="62"/>
      <c r="E60" s="62"/>
      <c r="F60" s="63"/>
      <c r="G60" s="64"/>
      <c r="H60" s="63"/>
      <c r="I60" s="62"/>
      <c r="J60" s="62"/>
      <c r="K60" s="62"/>
      <c r="L60" s="62"/>
      <c r="M60" s="62"/>
      <c r="N60" s="62"/>
      <c r="O60" s="62"/>
      <c r="P60" s="62"/>
      <c r="Q60" s="2"/>
      <c r="R60" s="9" t="s">
        <v>16</v>
      </c>
      <c r="S60" s="9"/>
      <c r="T60" s="9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2"/>
      <c r="AL60" s="66"/>
      <c r="AM60" s="66"/>
    </row>
    <row r="61" spans="3:39" x14ac:dyDescent="0.25">
      <c r="C61" s="2"/>
      <c r="D61" s="62"/>
      <c r="E61" s="62"/>
      <c r="F61" s="63"/>
      <c r="G61" s="64"/>
      <c r="H61" s="63"/>
      <c r="I61" s="62"/>
      <c r="J61" s="62"/>
      <c r="K61" s="62"/>
      <c r="L61" s="62"/>
      <c r="M61" s="62"/>
      <c r="N61" s="62"/>
      <c r="O61" s="62"/>
      <c r="P61" s="62"/>
      <c r="Q61" s="2"/>
      <c r="R61" s="9" t="s">
        <v>55</v>
      </c>
      <c r="S61" s="9"/>
      <c r="T61" s="9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2"/>
      <c r="AL61" s="66"/>
      <c r="AM61" s="66"/>
    </row>
    <row r="62" spans="3:39" x14ac:dyDescent="0.25">
      <c r="C62" s="2"/>
      <c r="D62" s="62"/>
      <c r="E62" s="62"/>
      <c r="F62" s="63"/>
      <c r="G62" s="64"/>
      <c r="H62" s="63"/>
      <c r="I62" s="62"/>
      <c r="J62" s="62"/>
      <c r="K62" s="62"/>
      <c r="L62" s="62"/>
      <c r="M62" s="62"/>
      <c r="N62" s="62"/>
      <c r="O62" s="62"/>
      <c r="P62" s="62"/>
      <c r="Q62" s="2"/>
      <c r="R62" s="9" t="s">
        <v>56</v>
      </c>
      <c r="S62" s="9"/>
      <c r="T62" s="9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2"/>
      <c r="AL62" s="66"/>
      <c r="AM62" s="66"/>
    </row>
    <row r="63" spans="3:39" ht="15.75" thickBot="1" x14ac:dyDescent="0.3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R63" s="9" t="s">
        <v>57</v>
      </c>
      <c r="S63" s="9"/>
      <c r="T63" s="9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2"/>
      <c r="AL63" s="66"/>
      <c r="AM63" s="66"/>
    </row>
    <row r="64" spans="3:39" ht="15" customHeight="1" x14ac:dyDescent="0.25">
      <c r="C64" s="2" t="str">
        <f>IF(OR(F64="",H64=""),"",IF(F64=H64,1,IF(F64&lt;H64,0,IF(F64-H64&lt;10,2,IF(F64&gt;H64,3,SE)))))</f>
        <v/>
      </c>
      <c r="D64" s="142" t="s">
        <v>29</v>
      </c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4"/>
      <c r="Q64" s="2" t="str">
        <f>IF(OR(H64="",F64=""),"",IF(H64=F64,1,IF(H64&lt;F64,0,IF(H64-F64&lt;10,2,IF(H64&gt;F64,3,SE)))))</f>
        <v/>
      </c>
      <c r="R64" s="9" t="s">
        <v>58</v>
      </c>
      <c r="S64" s="9"/>
      <c r="T64" s="9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2"/>
      <c r="AL64" s="66"/>
      <c r="AM64" s="66"/>
    </row>
    <row r="65" spans="3:39" ht="15.75" customHeight="1" thickBot="1" x14ac:dyDescent="0.3">
      <c r="C65" s="2" t="str">
        <f>IF(OR(F65="",H65=""),"",IF(F65=H65,1,IF(F65&lt;H65,0,IF(F65-H65&lt;10,2,IF(F65&gt;H65,3,SE)))))</f>
        <v/>
      </c>
      <c r="D65" s="145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7"/>
      <c r="Q65" s="2" t="str">
        <f>IF(OR(H65="",F65=""),"",IF(H65=F65,1,IF(H65&lt;F65,0,IF(H65-F65&lt;10,2,IF(H65&gt;F65,3,SE)))))</f>
        <v/>
      </c>
      <c r="R65" s="9" t="s">
        <v>59</v>
      </c>
      <c r="S65" s="9"/>
      <c r="T65" s="9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2"/>
      <c r="AL65" s="66"/>
      <c r="AM65" s="66"/>
    </row>
    <row r="66" spans="3:39" ht="15.75" thickBot="1" x14ac:dyDescent="0.3">
      <c r="C66" s="2"/>
      <c r="D66" s="4" t="s">
        <v>2</v>
      </c>
      <c r="E66" s="5" t="s">
        <v>3</v>
      </c>
      <c r="F66" s="5" t="s">
        <v>48</v>
      </c>
      <c r="G66" s="5" t="s">
        <v>4</v>
      </c>
      <c r="H66" s="5" t="s">
        <v>49</v>
      </c>
      <c r="I66" s="5" t="s">
        <v>50</v>
      </c>
      <c r="J66" s="5" t="s">
        <v>51</v>
      </c>
      <c r="K66" s="5" t="s">
        <v>52</v>
      </c>
      <c r="L66" s="5" t="s">
        <v>54</v>
      </c>
      <c r="M66" s="5" t="s">
        <v>5</v>
      </c>
      <c r="N66" s="5" t="s">
        <v>6</v>
      </c>
      <c r="O66" s="21" t="s">
        <v>53</v>
      </c>
      <c r="Q66" s="2"/>
      <c r="R66" s="9" t="s">
        <v>60</v>
      </c>
      <c r="S66" s="9"/>
      <c r="T66" s="9"/>
      <c r="U66" s="6" t="s">
        <v>2</v>
      </c>
      <c r="V66" s="6" t="s">
        <v>8</v>
      </c>
      <c r="W66" s="6" t="s">
        <v>48</v>
      </c>
      <c r="X66" s="6" t="s">
        <v>4</v>
      </c>
      <c r="Y66" s="6" t="s">
        <v>49</v>
      </c>
      <c r="Z66" s="6" t="s">
        <v>50</v>
      </c>
      <c r="AA66" s="6" t="s">
        <v>51</v>
      </c>
      <c r="AB66" s="6" t="s">
        <v>52</v>
      </c>
      <c r="AC66" s="6" t="s">
        <v>9</v>
      </c>
      <c r="AD66" s="6" t="s">
        <v>10</v>
      </c>
      <c r="AE66" s="6" t="s">
        <v>11</v>
      </c>
      <c r="AF66" s="6" t="s">
        <v>53</v>
      </c>
      <c r="AG66" s="6" t="s">
        <v>12</v>
      </c>
      <c r="AH66" s="6" t="s">
        <v>13</v>
      </c>
      <c r="AI66" s="6" t="s">
        <v>14</v>
      </c>
      <c r="AJ66" s="3"/>
      <c r="AK66" s="2"/>
      <c r="AL66" s="66"/>
      <c r="AM66" s="66"/>
    </row>
    <row r="67" spans="3:39" x14ac:dyDescent="0.25">
      <c r="C67" s="2"/>
      <c r="D67" s="36" t="s">
        <v>15</v>
      </c>
      <c r="E67" s="22" t="str">
        <f>VLOOKUP(AI67,$U$67:$AH$70,2)</f>
        <v>ManchesterUrubu City</v>
      </c>
      <c r="F67" s="22">
        <f>VLOOKUP(AI67,$U$67:AH$70,3)</f>
        <v>6</v>
      </c>
      <c r="G67" s="22">
        <f>VLOOKUP(AI67,$U$67:AH$70,4)</f>
        <v>16</v>
      </c>
      <c r="H67" s="23">
        <f>VLOOKUP(AI67,$U$67:$AH$70,5)</f>
        <v>4</v>
      </c>
      <c r="I67" s="23">
        <f>VLOOKUP(AI67,$U$67:AH$70,6)</f>
        <v>2</v>
      </c>
      <c r="J67" s="23">
        <f>VLOOKUP(AI67,$U$67:$AH$70,7)</f>
        <v>0</v>
      </c>
      <c r="K67" s="23">
        <f>VLOOKUP(AI67,$U$67:$AH$70,8)</f>
        <v>0</v>
      </c>
      <c r="L67" s="23">
        <f>VLOOKUP(AI67,$U$67:$AH$70,9)</f>
        <v>347</v>
      </c>
      <c r="M67" s="23">
        <f>VLOOKUP(AI67,$U$67:$AH$70,10)</f>
        <v>244</v>
      </c>
      <c r="N67" s="22">
        <f>VLOOKUP(AI67,$U$67:$AH$70,11)</f>
        <v>103</v>
      </c>
      <c r="O67" s="41">
        <f>VLOOKUP(AI67,$U$67:$AH$70,12)</f>
        <v>0.88888888888888884</v>
      </c>
      <c r="Q67" s="2"/>
      <c r="R67" s="9" t="s">
        <v>20</v>
      </c>
      <c r="S67" s="9"/>
      <c r="T67" s="9"/>
      <c r="U67" s="6">
        <v>1</v>
      </c>
      <c r="V67" s="3" t="s">
        <v>100</v>
      </c>
      <c r="W67" s="3">
        <f>COUNT($F$75,$F$81,$F$87,$F$93,$F$99,$F$105)</f>
        <v>6</v>
      </c>
      <c r="X67" s="3">
        <f>SUM(Q75,Q82,Q88,Q93,Q100,Q106)</f>
        <v>8</v>
      </c>
      <c r="Y67" s="3">
        <f>SUM(COUNTIFS($C$75:$C$106,3,$D$75:$D$106,V67),COUNTIFS($I$75:$I$106,V67,$Q$75:$Q$106,3))</f>
        <v>2</v>
      </c>
      <c r="Z67" s="3">
        <f>SUM(COUNTIFS($C$75:$C$106,2,$D$75:$D$106,V67),COUNTIFS($I$75:$I$106,V67,$Q$75:$Q$106,2))</f>
        <v>1</v>
      </c>
      <c r="AA67" s="3">
        <f>SUM(COUNTIFS($C$75:$C$106,1,$D$75:$D$106,V67),COUNTIFS($I$75:$I$106,V67,$Q$75:$Q$106,1))</f>
        <v>0</v>
      </c>
      <c r="AB67" s="3">
        <f>SUM(COUNTIFS($C$75:$C$106,0,$D$75:$D$106,V67),COUNTIFS($I$75:$I$106,V67,$Q$75:$Q$106,0))</f>
        <v>3</v>
      </c>
      <c r="AC67" s="7">
        <f>SUM(H93,H100,H106,H75,H82,H88)</f>
        <v>275</v>
      </c>
      <c r="AD67" s="7">
        <f>SUM(F75,F82,F88,F93,F100,F106)</f>
        <v>291</v>
      </c>
      <c r="AE67" s="7">
        <f>AC67-AD67</f>
        <v>-16</v>
      </c>
      <c r="AF67" s="7">
        <f>IF(OR($F$75="",$H$75=""),0,(X67/(W67*3)))</f>
        <v>0.44444444444444442</v>
      </c>
      <c r="AG67" s="3">
        <f>(X67*10^15)+((AC67+5000)*10^6)+AE67*10+U67</f>
        <v>8000005274999841</v>
      </c>
      <c r="AH67" s="3">
        <f>LARGE($AG$67:$AG$70,U67)</f>
        <v>1.6000005347001032E+16</v>
      </c>
      <c r="AI67" s="8">
        <f>MATCH(AH67,$AG$67:$AG$70,0)</f>
        <v>3</v>
      </c>
      <c r="AJ67" s="3"/>
      <c r="AK67" s="2"/>
      <c r="AL67" s="66"/>
      <c r="AM67" s="66"/>
    </row>
    <row r="68" spans="3:39" ht="15.75" thickBot="1" x14ac:dyDescent="0.3">
      <c r="C68" s="2"/>
      <c r="D68" s="33" t="s">
        <v>17</v>
      </c>
      <c r="E68" s="24" t="str">
        <f t="shared" ref="E68:E70" si="20">VLOOKUP(AI68,$U$67:$AH$70,2)</f>
        <v xml:space="preserve">Real Grotinha United </v>
      </c>
      <c r="F68" s="24">
        <f>VLOOKUP(AI68,$U$67:AH$70,3)</f>
        <v>6</v>
      </c>
      <c r="G68" s="24">
        <f>VLOOKUP(AI68,$U$67:AH$70,4)</f>
        <v>8</v>
      </c>
      <c r="H68" s="25">
        <f t="shared" ref="H68:H70" si="21">VLOOKUP(AI68,$U$67:$AH$70,5)</f>
        <v>2</v>
      </c>
      <c r="I68" s="25">
        <f>VLOOKUP(AI68,$U$67:AH$70,6)</f>
        <v>1</v>
      </c>
      <c r="J68" s="25">
        <f t="shared" ref="J68:J70" si="22">VLOOKUP(AI68,$U$67:$AH$70,7)</f>
        <v>0</v>
      </c>
      <c r="K68" s="25">
        <f t="shared" ref="K68:K70" si="23">VLOOKUP(AI68,$U$67:$AH$70,8)</f>
        <v>3</v>
      </c>
      <c r="L68" s="25">
        <f t="shared" ref="L68:L70" si="24">VLOOKUP(AI68,$U$67:$AH$70,9)</f>
        <v>275</v>
      </c>
      <c r="M68" s="25">
        <f t="shared" ref="M68:M70" si="25">VLOOKUP(AI68,$U$67:$AH$70,10)</f>
        <v>291</v>
      </c>
      <c r="N68" s="24">
        <f t="shared" ref="N68:N70" si="26">VLOOKUP(AI68,$U$67:$AH$70,11)</f>
        <v>-16</v>
      </c>
      <c r="O68" s="42">
        <f t="shared" ref="O68:O70" si="27">VLOOKUP(AI68,$U$67:$AH$70,12)</f>
        <v>0.44444444444444442</v>
      </c>
      <c r="Q68" s="2"/>
      <c r="R68" s="9" t="s">
        <v>61</v>
      </c>
      <c r="S68" s="9"/>
      <c r="T68" s="9"/>
      <c r="U68" s="6">
        <v>2</v>
      </c>
      <c r="V68" s="3" t="s">
        <v>96</v>
      </c>
      <c r="W68" s="3">
        <f t="shared" ref="W68:W70" si="28">COUNT($F$75,$F$81,$F$87,$F$93,$F$99,$F$105)</f>
        <v>6</v>
      </c>
      <c r="X68" s="3">
        <f>SUM(Q76,Q81,C88,Q94,Q99,C106)</f>
        <v>6</v>
      </c>
      <c r="Y68" s="3">
        <f>SUM(COUNTIFS($C$75:$C$106,3,$D$75:$D$106,V68),COUNTIFS($I$75:$I$106,V68,$Q$75:$Q$106,3))</f>
        <v>2</v>
      </c>
      <c r="Z68" s="3">
        <f>SUM(COUNTIFS($C$75:$C$106,2,$D$75:$D$106,V68),COUNTIFS($I$75:$I$106,V68,$Q$75:$Q$106,2))</f>
        <v>0</v>
      </c>
      <c r="AA68" s="3">
        <f>SUM(COUNTIFS($C$75:$C$106,1,$D$75:$D$106,V68),COUNTIFS($I$75:$I$106,V68,$Q$75:$Q$106,1))</f>
        <v>0</v>
      </c>
      <c r="AB68" s="3">
        <f>SUM(COUNTIFS($C$75:$C$106,0,$D$75:$D$106,V68),COUNTIFS($I$75:$I$106,V68,$Q$75:$Q$106,0))</f>
        <v>4</v>
      </c>
      <c r="AC68" s="7">
        <f>SUM(H76,H81,F88,H94,H99,F106)</f>
        <v>316</v>
      </c>
      <c r="AD68" s="7">
        <f>SUM(H106,F99,F94,H88,F81,F76)</f>
        <v>327</v>
      </c>
      <c r="AE68" s="7">
        <f t="shared" ref="AE68:AE70" si="29">AC68-AD68</f>
        <v>-11</v>
      </c>
      <c r="AF68" s="7">
        <f t="shared" ref="AF68:AF70" si="30">IF(OR($F$75="",$H$75=""),0,(X68/(W68*3)))</f>
        <v>0.33333333333333331</v>
      </c>
      <c r="AG68" s="3">
        <f t="shared" ref="AG68:AG70" si="31">(X68*10^15)+((AC68+5000)*10^6)+AE68*10+U68</f>
        <v>6000005315999892</v>
      </c>
      <c r="AH68" s="3">
        <f t="shared" ref="AH68:AH70" si="32">LARGE($AG$67:$AG$70,U68)</f>
        <v>8000005274999841</v>
      </c>
      <c r="AI68" s="8">
        <f t="shared" ref="AI68:AI70" si="33">MATCH(AH68,$AG$67:$AG$70,0)</f>
        <v>1</v>
      </c>
      <c r="AJ68" s="3"/>
      <c r="AK68" s="2"/>
      <c r="AL68" s="66"/>
      <c r="AM68" s="66"/>
    </row>
    <row r="69" spans="3:39" ht="15.75" thickBot="1" x14ac:dyDescent="0.3">
      <c r="C69" s="2"/>
      <c r="D69" s="34" t="s">
        <v>18</v>
      </c>
      <c r="E69" s="26" t="str">
        <f t="shared" si="20"/>
        <v>André fogão</v>
      </c>
      <c r="F69" s="26">
        <f>VLOOKUP(AI69,$U$67:AH$70,3)</f>
        <v>6</v>
      </c>
      <c r="G69" s="26">
        <f>VLOOKUP(AI69,$U$67:AH$70,4)</f>
        <v>6</v>
      </c>
      <c r="H69" s="27">
        <f t="shared" si="21"/>
        <v>2</v>
      </c>
      <c r="I69" s="27">
        <f>VLOOKUP(AI69,$U$67:AH$70,6)</f>
        <v>0</v>
      </c>
      <c r="J69" s="27">
        <f t="shared" si="22"/>
        <v>0</v>
      </c>
      <c r="K69" s="27">
        <f t="shared" si="23"/>
        <v>4</v>
      </c>
      <c r="L69" s="27">
        <f t="shared" si="24"/>
        <v>316</v>
      </c>
      <c r="M69" s="27">
        <f t="shared" si="25"/>
        <v>327</v>
      </c>
      <c r="N69" s="26">
        <f t="shared" si="26"/>
        <v>-11</v>
      </c>
      <c r="O69" s="43">
        <f t="shared" si="27"/>
        <v>0.33333333333333331</v>
      </c>
      <c r="Q69" s="2"/>
      <c r="R69" s="53"/>
      <c r="S69" s="9" t="s">
        <v>86</v>
      </c>
      <c r="T69" s="9"/>
      <c r="U69" s="6">
        <v>3</v>
      </c>
      <c r="V69" s="3" t="s">
        <v>90</v>
      </c>
      <c r="W69" s="3">
        <f t="shared" si="28"/>
        <v>6</v>
      </c>
      <c r="X69" s="3">
        <f>SUM(C76,C82,Q87,C94,C100,Q105)</f>
        <v>16</v>
      </c>
      <c r="Y69" s="3">
        <f>SUM(COUNTIFS($C$75:$C$106,3,$D$75:$D$106,V69),COUNTIFS($I$75:$I$106,V69,$Q$75:$Q$106,3))</f>
        <v>4</v>
      </c>
      <c r="Z69" s="3">
        <f>SUM(COUNTIFS($C$75:$C$106,2,$D$75:$D$106,V69),COUNTIFS($I$75:$I$106,V69,$Q$75:$Q$106,2))</f>
        <v>2</v>
      </c>
      <c r="AA69" s="3">
        <f>SUM(COUNTIFS($C$75:$C$106,1,$D$75:$D$106,V69),COUNTIFS($I$75:$I$106,V69,$Q$75:$Q$106,1))</f>
        <v>0</v>
      </c>
      <c r="AB69" s="3">
        <f>SUM(COUNTIFS($C$75:$C$106,0,$D$75:$D$106,V69),COUNTIFS($I$75:$I$106,V69,$Q$75:$Q$106,0))</f>
        <v>0</v>
      </c>
      <c r="AC69" s="7">
        <f>SUM(H105,F100,F94,H87,F82,F76)</f>
        <v>347</v>
      </c>
      <c r="AD69" s="7">
        <f>SUM(H76,H82,F87,H94,H100,F105)</f>
        <v>244</v>
      </c>
      <c r="AE69" s="7">
        <f t="shared" si="29"/>
        <v>103</v>
      </c>
      <c r="AF69" s="7">
        <f t="shared" si="30"/>
        <v>0.88888888888888884</v>
      </c>
      <c r="AG69" s="3">
        <f t="shared" si="31"/>
        <v>1.6000005347001032E+16</v>
      </c>
      <c r="AH69" s="3">
        <f t="shared" si="32"/>
        <v>6000005315999892</v>
      </c>
      <c r="AI69" s="8">
        <f t="shared" si="33"/>
        <v>2</v>
      </c>
      <c r="AJ69" s="3"/>
      <c r="AK69" s="2"/>
      <c r="AL69" s="66"/>
      <c r="AM69" s="66"/>
    </row>
    <row r="70" spans="3:39" ht="15.75" thickBot="1" x14ac:dyDescent="0.3">
      <c r="C70" s="2"/>
      <c r="D70" s="35" t="s">
        <v>19</v>
      </c>
      <c r="E70" s="28" t="str">
        <f t="shared" si="20"/>
        <v>Grajaú F.C.</v>
      </c>
      <c r="F70" s="28">
        <f>VLOOKUP(AI70,$U$67:AH$70,3)</f>
        <v>6</v>
      </c>
      <c r="G70" s="28">
        <f>VLOOKUP(AI70,$U$67:AH$70,4)</f>
        <v>3</v>
      </c>
      <c r="H70" s="29">
        <f t="shared" si="21"/>
        <v>1</v>
      </c>
      <c r="I70" s="29">
        <f>VLOOKUP(AI70,$U$67:AH$70,6)</f>
        <v>0</v>
      </c>
      <c r="J70" s="29">
        <f t="shared" si="22"/>
        <v>0</v>
      </c>
      <c r="K70" s="29">
        <f t="shared" si="23"/>
        <v>5</v>
      </c>
      <c r="L70" s="29">
        <f t="shared" si="24"/>
        <v>271</v>
      </c>
      <c r="M70" s="29">
        <f t="shared" si="25"/>
        <v>347</v>
      </c>
      <c r="N70" s="28">
        <f t="shared" si="26"/>
        <v>-76</v>
      </c>
      <c r="O70" s="44">
        <f t="shared" si="27"/>
        <v>0.16666666666666666</v>
      </c>
      <c r="Q70" s="2"/>
      <c r="R70" s="54"/>
      <c r="S70" s="9" t="s">
        <v>63</v>
      </c>
      <c r="T70" s="9"/>
      <c r="U70" s="6">
        <v>4</v>
      </c>
      <c r="V70" s="3" t="s">
        <v>92</v>
      </c>
      <c r="W70" s="3">
        <f t="shared" si="28"/>
        <v>6</v>
      </c>
      <c r="X70" s="3">
        <f>SUM(C75,C81,C87,C93,C99,C105)</f>
        <v>3</v>
      </c>
      <c r="Y70" s="3">
        <f>SUM(COUNTIFS($C$75:$C$106,3,$D$75:$D$106,V70),COUNTIFS($I$75:$I$106,V70,$Q$75:$Q$106,3))</f>
        <v>1</v>
      </c>
      <c r="Z70" s="3">
        <f>SUM(COUNTIFS($C$75:$C$106,2,$D$75:$D$106,V70),COUNTIFS($I$75:$I$106,V70,$Q$75:$Q$106,2))</f>
        <v>0</v>
      </c>
      <c r="AA70" s="3">
        <f>SUM(COUNTIFS($C$75:$C$106,1,$D$75:$D$106,V70),COUNTIFS($I$75:$I$106,V70,$Q$75:$Q$106,1))</f>
        <v>0</v>
      </c>
      <c r="AB70" s="3">
        <f>SUM(COUNTIFS($C$75:$C$106,0,$D$75:$D$106,V70),COUNTIFS($I$75:$I$106,V70,$Q$75:$Q$106,0))</f>
        <v>5</v>
      </c>
      <c r="AC70" s="7">
        <f>SUM(F75,F81,F87,F93,F99,F105,)</f>
        <v>271</v>
      </c>
      <c r="AD70" s="7">
        <f>SUM(H105,H99,H93,H87,H81,H75)</f>
        <v>347</v>
      </c>
      <c r="AE70" s="7">
        <f t="shared" si="29"/>
        <v>-76</v>
      </c>
      <c r="AF70" s="7">
        <f t="shared" si="30"/>
        <v>0.16666666666666666</v>
      </c>
      <c r="AG70" s="3">
        <f t="shared" si="31"/>
        <v>3000005270999244</v>
      </c>
      <c r="AH70" s="3">
        <f t="shared" si="32"/>
        <v>3000005270999244</v>
      </c>
      <c r="AI70" s="8">
        <f t="shared" si="33"/>
        <v>4</v>
      </c>
      <c r="AJ70" s="3"/>
      <c r="AK70" s="2"/>
      <c r="AL70" s="66"/>
      <c r="AM70" s="66"/>
    </row>
    <row r="71" spans="3:39" ht="18.75" customHeight="1" thickBot="1" x14ac:dyDescent="0.3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2"/>
      <c r="AL71" s="66"/>
      <c r="AM71" s="66"/>
    </row>
    <row r="72" spans="3:39" x14ac:dyDescent="0.25">
      <c r="C72" s="2" t="str">
        <f>IF(OR(F72="",H72=""),"",IF(F72=H72,1,IF(F72&lt;H72,0,IF(F72-H72&lt;10,2,IF(F72&gt;H72,3,SE)))))</f>
        <v/>
      </c>
      <c r="D72" s="156" t="s">
        <v>21</v>
      </c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8"/>
      <c r="Q72" s="2" t="str">
        <f>IF(OR(H72="",F72=""),"",IF(H72=F72,1,IF(H72&lt;F72,0,IF(H72-F72&lt;10,2,IF(H72&gt;F72,3,SE)))))</f>
        <v/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2"/>
      <c r="AL72" s="66"/>
      <c r="AM72" s="66"/>
    </row>
    <row r="73" spans="3:39" ht="15.75" thickBot="1" x14ac:dyDescent="0.3">
      <c r="C73" s="2" t="str">
        <f>IF(OR(F73="",H73=""),"",IF(F73=H73,1,IF(F73&lt;H73,0,IF(F73-H73&lt;10,2,IF(F73&gt;H73,3,SE)))))</f>
        <v/>
      </c>
      <c r="D73" s="159"/>
      <c r="E73" s="160"/>
      <c r="F73" s="160"/>
      <c r="G73" s="160"/>
      <c r="H73" s="160"/>
      <c r="I73" s="160"/>
      <c r="J73" s="160"/>
      <c r="K73" s="160"/>
      <c r="L73" s="160"/>
      <c r="M73" s="160"/>
      <c r="N73" s="160"/>
      <c r="O73" s="160"/>
      <c r="P73" s="161"/>
      <c r="Q73" s="2" t="str">
        <f>IF(OR(H73="",F73=""),"",IF(H73=F73,1,IF(H73&lt;F73,0,IF(H73-F73&lt;10,2,IF(H73&gt;F73,3,SE)))))</f>
        <v/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2"/>
      <c r="AL73" s="66"/>
      <c r="AM73" s="66"/>
    </row>
    <row r="74" spans="3:39" x14ac:dyDescent="0.25">
      <c r="C74" s="2" t="str">
        <f>IF(OR(F74="",H74=""),"",IF(F74=H74,1,IF(F74&lt;H74,0,IF(F74-H74&lt;10,2,IF(F74&gt;H74,3,SE)))))</f>
        <v/>
      </c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2" t="str">
        <f>IF(OR(H74="",F74=""),"",IF(H74=F74,1,IF(H74&lt;F74,0,IF(H74-F74&lt;10,2,IF(H74&gt;F74,3,SE)))))</f>
        <v/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2"/>
      <c r="AL74" s="66"/>
      <c r="AM74" s="66"/>
    </row>
    <row r="75" spans="3:39" x14ac:dyDescent="0.25">
      <c r="C75" s="2">
        <f>IF(OR(F75="",H75=""),"",IF(F75=H75,1,IF(F75&lt;H75,0,IF(F75-H75&lt;10,2,IF(F75&gt;H75,3,SE)))))</f>
        <v>0</v>
      </c>
      <c r="D75" s="155" t="str">
        <f>V70</f>
        <v>Grajaú F.C.</v>
      </c>
      <c r="E75" s="155"/>
      <c r="F75" s="55">
        <v>20</v>
      </c>
      <c r="G75" s="58" t="s">
        <v>22</v>
      </c>
      <c r="H75" s="57">
        <v>47</v>
      </c>
      <c r="I75" s="155" t="str">
        <f>V67</f>
        <v xml:space="preserve">Real Grotinha United </v>
      </c>
      <c r="J75" s="155"/>
      <c r="K75" s="155"/>
      <c r="L75" s="155"/>
      <c r="M75" s="155"/>
      <c r="N75" s="155"/>
      <c r="O75" s="155"/>
      <c r="P75" s="155"/>
      <c r="Q75" s="2">
        <f>IF(OR(H75="",F75=""),"",IF(H75=F75,1,IF(H75&lt;F75,0,IF(H75-F75&lt;10,2,IF(H75&gt;F75,3,SE)))))</f>
        <v>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2"/>
      <c r="AL75" s="66"/>
      <c r="AM75" s="66"/>
    </row>
    <row r="76" spans="3:39" x14ac:dyDescent="0.25">
      <c r="C76" s="2">
        <f>IF(OR(F76="",H76=""),"",IF(F76=H76,1,IF(F76&lt;H76,0,IF(F76-H76&lt;10,2,IF(F76&gt;H76,3,SE)))))</f>
        <v>2</v>
      </c>
      <c r="D76" s="155" t="str">
        <f>V69</f>
        <v>ManchesterUrubu City</v>
      </c>
      <c r="E76" s="155"/>
      <c r="F76" s="57">
        <v>35</v>
      </c>
      <c r="G76" s="58" t="s">
        <v>22</v>
      </c>
      <c r="H76" s="55">
        <v>29</v>
      </c>
      <c r="I76" s="155" t="str">
        <f>V68</f>
        <v>André fogão</v>
      </c>
      <c r="J76" s="155"/>
      <c r="K76" s="155"/>
      <c r="L76" s="155"/>
      <c r="M76" s="155"/>
      <c r="N76" s="155"/>
      <c r="O76" s="155"/>
      <c r="P76" s="155"/>
      <c r="Q76" s="2">
        <f>IF(OR(H76="",F76=""),"",IF(H76=F76,1,IF(H76&lt;F76,0,IF(H76-F76&lt;10,2,IF(H76&gt;F76,3,SE)))))</f>
        <v>0</v>
      </c>
      <c r="R76" s="9"/>
      <c r="S76" s="9"/>
      <c r="T76" s="9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2"/>
    </row>
    <row r="77" spans="3:39" ht="15.75" thickBot="1" x14ac:dyDescent="0.3">
      <c r="C77" s="2" t="str">
        <f>IF(OR(F77="",H77=""),"",IF(F77=H77,1,IF(F77&lt;H77,0,IF(F77-H77&lt;10,2,IF(F77&gt;H77,3,SE)))))</f>
        <v/>
      </c>
      <c r="F77" s="59"/>
      <c r="G77" s="59"/>
      <c r="H77" s="59"/>
      <c r="Q77" s="2" t="str">
        <f>IF(OR(H77="",F77=""),"",IF(H77=F77,1,IF(H77&lt;F77,0,IF(H77-F77&lt;10,2,IF(H77&gt;F77,3,SE)))))</f>
        <v/>
      </c>
      <c r="R77" s="9"/>
      <c r="S77" s="9"/>
      <c r="T77" s="9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2"/>
    </row>
    <row r="78" spans="3:39" x14ac:dyDescent="0.25">
      <c r="C78" s="2" t="str">
        <f>IF(OR(F78="",H78=""),"",IF(F78=H78,1,IF(F78&lt;H78,0,IF(F78-H78&lt;10,2,IF(F78&gt;H78,3,SE)))))</f>
        <v/>
      </c>
      <c r="D78" s="142" t="s">
        <v>24</v>
      </c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4"/>
      <c r="Q78" s="2" t="str">
        <f>IF(OR(H78="",F78=""),"",IF(H78=F78,1,IF(H78&lt;F78,0,IF(H78-F78&lt;10,2,IF(H78&gt;F78,3,SE)))))</f>
        <v/>
      </c>
      <c r="R78" s="9"/>
      <c r="S78" s="9"/>
      <c r="T78" s="9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2"/>
    </row>
    <row r="79" spans="3:39" ht="15.75" thickBot="1" x14ac:dyDescent="0.3">
      <c r="C79" s="2" t="str">
        <f>IF(OR(F79="",H79=""),"",IF(F79=H79,1,IF(F79&lt;H79,0,IF(F79-H79&lt;10,2,IF(F79&gt;H79,3,SE)))))</f>
        <v/>
      </c>
      <c r="D79" s="145"/>
      <c r="E79" s="146"/>
      <c r="F79" s="146"/>
      <c r="G79" s="146"/>
      <c r="H79" s="146"/>
      <c r="I79" s="146"/>
      <c r="J79" s="146"/>
      <c r="K79" s="146"/>
      <c r="L79" s="146"/>
      <c r="M79" s="146"/>
      <c r="N79" s="146"/>
      <c r="O79" s="146"/>
      <c r="P79" s="147"/>
      <c r="Q79" s="2" t="str">
        <f>IF(OR(H79="",F79=""),"",IF(H79=F79,1,IF(H79&lt;F79,0,IF(H79-F79&lt;10,2,IF(H79&gt;F79,3,SE)))))</f>
        <v/>
      </c>
      <c r="R79" s="9"/>
      <c r="S79" s="9"/>
      <c r="T79" s="9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2"/>
    </row>
    <row r="80" spans="3:39" x14ac:dyDescent="0.25">
      <c r="C80" s="2" t="str">
        <f>IF(OR(F80="",H80=""),"",IF(F80=H80,1,IF(F80&lt;H80,0,IF(F80-H80&lt;10,2,IF(F80&gt;H80,3,SE)))))</f>
        <v/>
      </c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2" t="str">
        <f>IF(OR(H80="",F80=""),"",IF(H80=F80,1,IF(H80&lt;F80,0,IF(H80-F80&lt;10,2,IF(H80&gt;F80,3,SE)))))</f>
        <v/>
      </c>
      <c r="R80" s="9"/>
      <c r="S80" s="9"/>
      <c r="T80" s="9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2"/>
    </row>
    <row r="81" spans="3:37" x14ac:dyDescent="0.25">
      <c r="C81" s="2">
        <f>IF(OR(F81="",H81=""),"",IF(F81=H81,1,IF(F81&lt;H81,0,IF(F81-H81&lt;10,2,IF(F81&gt;H81,3,SE)))))</f>
        <v>3</v>
      </c>
      <c r="D81" s="155" t="str">
        <f>V70</f>
        <v>Grajaú F.C.</v>
      </c>
      <c r="E81" s="155"/>
      <c r="F81" s="57">
        <v>74</v>
      </c>
      <c r="G81" s="58" t="s">
        <v>22</v>
      </c>
      <c r="H81" s="55">
        <v>61</v>
      </c>
      <c r="I81" s="155" t="str">
        <f>V68</f>
        <v>André fogão</v>
      </c>
      <c r="J81" s="155"/>
      <c r="K81" s="155"/>
      <c r="L81" s="155"/>
      <c r="M81" s="155"/>
      <c r="N81" s="155"/>
      <c r="O81" s="155"/>
      <c r="P81" s="155"/>
      <c r="Q81" s="2">
        <f>IF(OR(H81="",F81=""),"",IF(H81=F81,1,IF(H81&lt;F81,0,IF(H81-F81&lt;10,2,IF(H81&gt;F81,3,SE)))))</f>
        <v>0</v>
      </c>
      <c r="R81" s="9"/>
      <c r="S81" s="9"/>
      <c r="T81" s="9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2"/>
    </row>
    <row r="82" spans="3:37" x14ac:dyDescent="0.25">
      <c r="C82" s="2">
        <f>IF(OR(F82="",H82=""),"",IF(F82=H82,1,IF(F82&lt;H82,0,IF(F82-H82&lt;10,2,IF(F82&gt;H82,3,SE)))))</f>
        <v>3</v>
      </c>
      <c r="D82" s="155" t="str">
        <f>V69</f>
        <v>ManchesterUrubu City</v>
      </c>
      <c r="E82" s="155"/>
      <c r="F82" s="57">
        <v>60</v>
      </c>
      <c r="G82" s="58" t="s">
        <v>22</v>
      </c>
      <c r="H82" s="55">
        <v>35</v>
      </c>
      <c r="I82" s="155" t="str">
        <f>V67</f>
        <v xml:space="preserve">Real Grotinha United </v>
      </c>
      <c r="J82" s="155"/>
      <c r="K82" s="155"/>
      <c r="L82" s="155"/>
      <c r="M82" s="155"/>
      <c r="N82" s="155"/>
      <c r="O82" s="155"/>
      <c r="P82" s="155"/>
      <c r="Q82" s="2">
        <f>IF(OR(H82="",F82=""),"",IF(H82=F82,1,IF(H82&lt;F82,0,IF(H82-F82&lt;10,2,IF(H82&gt;F82,3,SE)))))</f>
        <v>0</v>
      </c>
      <c r="R82" s="9"/>
      <c r="S82" s="9"/>
      <c r="T82" s="9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2"/>
    </row>
    <row r="83" spans="3:37" ht="15.75" thickBot="1" x14ac:dyDescent="0.3">
      <c r="C83" s="2" t="str">
        <f>IF(OR(F83="",H83=""),"",IF(F83=H83,1,IF(F83&lt;H83,0,IF(F83-H83&lt;10,2,IF(F83&gt;H83,3,SE)))))</f>
        <v/>
      </c>
      <c r="F83" s="10"/>
      <c r="Q83" s="2" t="str">
        <f>IF(OR(H83="",F83=""),"",IF(H83=F83,1,IF(H83&lt;F83,0,IF(H83-F83&lt;10,2,IF(H83&gt;F83,3,SE)))))</f>
        <v/>
      </c>
      <c r="R83" s="9"/>
      <c r="S83" s="9"/>
      <c r="T83" s="9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2"/>
    </row>
    <row r="84" spans="3:37" x14ac:dyDescent="0.25">
      <c r="C84" s="2" t="str">
        <f>IF(OR(F84="",H84=""),"",IF(F84=H84,1,IF(F84&lt;H84,0,IF(F84-H84&lt;10,2,IF(F84&gt;H84,3,SE)))))</f>
        <v/>
      </c>
      <c r="D84" s="142" t="s">
        <v>25</v>
      </c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3"/>
      <c r="P84" s="144"/>
      <c r="Q84" s="2" t="str">
        <f>IF(OR(H84="",F84=""),"",IF(H84=F84,1,IF(H84&lt;F84,0,IF(H84-F84&lt;10,2,IF(H84&gt;F84,3,SE)))))</f>
        <v/>
      </c>
      <c r="R84" s="9"/>
      <c r="S84" s="9"/>
      <c r="T84" s="9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2"/>
    </row>
    <row r="85" spans="3:37" ht="15.75" thickBot="1" x14ac:dyDescent="0.3">
      <c r="C85" s="2" t="str">
        <f>IF(OR(F85="",H85=""),"",IF(F85=H85,1,IF(F85&lt;H85,0,IF(F85-H85&lt;10,2,IF(F85&gt;H85,3,SE)))))</f>
        <v/>
      </c>
      <c r="D85" s="145"/>
      <c r="E85" s="146"/>
      <c r="F85" s="146"/>
      <c r="G85" s="146"/>
      <c r="H85" s="146"/>
      <c r="I85" s="146"/>
      <c r="J85" s="146"/>
      <c r="K85" s="146"/>
      <c r="L85" s="146"/>
      <c r="M85" s="146"/>
      <c r="N85" s="146"/>
      <c r="O85" s="146"/>
      <c r="P85" s="147"/>
      <c r="Q85" s="2" t="str">
        <f>IF(OR(H85="",F85=""),"",IF(H85=F85,1,IF(H85&lt;F85,0,IF(H85-F85&lt;10,2,IF(H85&gt;F85,3,SE)))))</f>
        <v/>
      </c>
      <c r="R85" s="9"/>
      <c r="S85" s="9"/>
      <c r="T85" s="9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2"/>
    </row>
    <row r="86" spans="3:37" x14ac:dyDescent="0.25">
      <c r="C86" s="2" t="str">
        <f>IF(OR(F86="",H86=""),"",IF(F86=H86,1,IF(F86&lt;H86,0,IF(F86-H86&lt;10,2,IF(F86&gt;H86,3,SE)))))</f>
        <v/>
      </c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2" t="str">
        <f>IF(OR(H86="",F86=""),"",IF(H86=F86,1,IF(H86&lt;F86,0,IF(H86-F86&lt;10,2,IF(H86&gt;F86,3,SE)))))</f>
        <v/>
      </c>
      <c r="R86" s="9"/>
      <c r="S86" s="9"/>
      <c r="T86" s="9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2"/>
    </row>
    <row r="87" spans="3:37" x14ac:dyDescent="0.25">
      <c r="C87" s="2">
        <f>IF(OR(F87="",H87=""),"",IF(F87=H87,1,IF(F87&lt;H87,0,IF(F87-H87&lt;10,2,IF(F87&gt;H87,3,SE)))))</f>
        <v>0</v>
      </c>
      <c r="D87" s="155" t="str">
        <f>V70</f>
        <v>Grajaú F.C.</v>
      </c>
      <c r="E87" s="155"/>
      <c r="F87" s="55">
        <v>13</v>
      </c>
      <c r="G87" s="58" t="s">
        <v>22</v>
      </c>
      <c r="H87" s="57">
        <v>40</v>
      </c>
      <c r="I87" s="155" t="str">
        <f>V69</f>
        <v>ManchesterUrubu City</v>
      </c>
      <c r="J87" s="155"/>
      <c r="K87" s="155"/>
      <c r="L87" s="155"/>
      <c r="M87" s="155"/>
      <c r="N87" s="155"/>
      <c r="O87" s="155"/>
      <c r="P87" s="155"/>
      <c r="Q87" s="2">
        <f>IF(OR(H87="",F87=""),"",IF(H87=F87,1,IF(H87&lt;F87,0,IF(H87-F87&lt;10,2,IF(H87&gt;F87,3,SE)))))</f>
        <v>3</v>
      </c>
      <c r="R87" s="9"/>
      <c r="S87" s="9"/>
      <c r="T87" s="9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2"/>
    </row>
    <row r="88" spans="3:37" x14ac:dyDescent="0.25">
      <c r="C88" s="2">
        <f>IF(OR(F88="",H88=""),"",IF(F88=H88,1,IF(F88&lt;H88,0,IF(F88-H88&lt;10,2,IF(F88&gt;H88,3,SE)))))</f>
        <v>3</v>
      </c>
      <c r="D88" s="155" t="str">
        <f>V68</f>
        <v>André fogão</v>
      </c>
      <c r="E88" s="155"/>
      <c r="F88" s="57">
        <v>33</v>
      </c>
      <c r="G88" s="58" t="s">
        <v>22</v>
      </c>
      <c r="H88" s="55">
        <v>2</v>
      </c>
      <c r="I88" s="155" t="str">
        <f>V67</f>
        <v xml:space="preserve">Real Grotinha United </v>
      </c>
      <c r="J88" s="155"/>
      <c r="K88" s="155"/>
      <c r="L88" s="155"/>
      <c r="M88" s="155"/>
      <c r="N88" s="155"/>
      <c r="O88" s="155"/>
      <c r="P88" s="155"/>
      <c r="Q88" s="2">
        <f>IF(OR(H88="",F88=""),"",IF(H88=F88,1,IF(H88&lt;F88,0,IF(H88-F88&lt;10,2,IF(H88&gt;F88,3,SE)))))</f>
        <v>0</v>
      </c>
      <c r="R88" s="9"/>
      <c r="S88" s="9"/>
      <c r="T88" s="9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2"/>
    </row>
    <row r="89" spans="3:37" ht="15.75" thickBot="1" x14ac:dyDescent="0.3">
      <c r="C89" s="2" t="str">
        <f>IF(OR(F89="",H89=""),"",IF(F89=H89,1,IF(F89&lt;H89,0,IF(F89-H89&lt;10,2,IF(F89&gt;H89,3,SE)))))</f>
        <v/>
      </c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2" t="str">
        <f>IF(OR(H89="",F89=""),"",IF(H89=F89,1,IF(H89&lt;F89,0,IF(H89-F89&lt;10,2,IF(H89&gt;F89,3,SE)))))</f>
        <v/>
      </c>
      <c r="R89" s="9"/>
      <c r="S89" s="9"/>
      <c r="T89" s="9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2"/>
    </row>
    <row r="90" spans="3:37" x14ac:dyDescent="0.25">
      <c r="C90" s="2" t="str">
        <f>IF(OR(F90="",H90=""),"",IF(F90=H90,1,IF(F90&lt;H90,0,IF(F90-H90&lt;10,2,IF(F90&gt;H90,3,SE)))))</f>
        <v/>
      </c>
      <c r="D90" s="142" t="s">
        <v>26</v>
      </c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144"/>
      <c r="Q90" s="2" t="str">
        <f>IF(OR(H90="",F90=""),"",IF(H90=F90,1,IF(H90&lt;F90,0,IF(H90-F90&lt;10,2,IF(H90&gt;F90,3,SE)))))</f>
        <v/>
      </c>
      <c r="R90" s="9"/>
      <c r="S90" s="9"/>
      <c r="T90" s="9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2"/>
    </row>
    <row r="91" spans="3:37" ht="15.75" thickBot="1" x14ac:dyDescent="0.3">
      <c r="C91" s="2" t="str">
        <f>IF(OR(F91="",H91=""),"",IF(F91=H91,1,IF(F91&lt;H91,0,IF(F91-H91&lt;10,2,IF(F91&gt;H91,3,SE)))))</f>
        <v/>
      </c>
      <c r="D91" s="145"/>
      <c r="E91" s="146"/>
      <c r="F91" s="146"/>
      <c r="G91" s="146"/>
      <c r="H91" s="146"/>
      <c r="I91" s="146"/>
      <c r="J91" s="146"/>
      <c r="K91" s="146"/>
      <c r="L91" s="146"/>
      <c r="M91" s="146"/>
      <c r="N91" s="146"/>
      <c r="O91" s="146"/>
      <c r="P91" s="147"/>
      <c r="Q91" s="2" t="str">
        <f>IF(OR(H91="",F91=""),"",IF(H91=F91,1,IF(H91&lt;F91,0,IF(H91-F91&lt;10,2,IF(H91&gt;F91,3,SE)))))</f>
        <v/>
      </c>
      <c r="R91" s="9"/>
      <c r="S91" s="9"/>
      <c r="T91" s="9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2"/>
    </row>
    <row r="92" spans="3:37" x14ac:dyDescent="0.25">
      <c r="C92" s="2" t="str">
        <f>IF(OR(F92="",H92=""),"",IF(F92=H92,1,IF(F92&lt;H92,0,IF(F92-H92&lt;10,2,IF(F92&gt;H92,3,SE)))))</f>
        <v/>
      </c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2" t="str">
        <f>IF(OR(H92="",F92=""),"",IF(H92=F92,1,IF(H92&lt;F92,0,IF(H92-F92&lt;10,2,IF(H92&gt;F92,3,SE)))))</f>
        <v/>
      </c>
      <c r="R92" s="9"/>
      <c r="S92" s="9"/>
      <c r="T92" s="9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2"/>
    </row>
    <row r="93" spans="3:37" x14ac:dyDescent="0.25">
      <c r="C93" s="2">
        <f>IF(OR(F93="",H93=""),"",IF(F93=H93,1,IF(F93&lt;H93,0,IF(F93-H93&lt;10,2,IF(F93&gt;H93,3,SE)))))</f>
        <v>0</v>
      </c>
      <c r="D93" s="155" t="str">
        <f>V70</f>
        <v>Grajaú F.C.</v>
      </c>
      <c r="E93" s="155"/>
      <c r="F93" s="55">
        <v>31</v>
      </c>
      <c r="G93" s="58" t="s">
        <v>22</v>
      </c>
      <c r="H93" s="57">
        <v>47</v>
      </c>
      <c r="I93" s="155" t="str">
        <f>V67</f>
        <v xml:space="preserve">Real Grotinha United </v>
      </c>
      <c r="J93" s="155"/>
      <c r="K93" s="155"/>
      <c r="L93" s="155"/>
      <c r="M93" s="155"/>
      <c r="N93" s="155"/>
      <c r="O93" s="155"/>
      <c r="P93" s="155"/>
      <c r="Q93" s="2">
        <f>IF(OR(H93="",F93=""),"",IF(H93=F93,1,IF(H93&lt;F93,0,IF(H93-F93&lt;10,2,IF(H93&gt;F93,3,SE)))))</f>
        <v>3</v>
      </c>
      <c r="R93" s="9"/>
      <c r="S93" s="9"/>
      <c r="T93" s="9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2"/>
    </row>
    <row r="94" spans="3:37" x14ac:dyDescent="0.25">
      <c r="C94" s="2">
        <f>IF(OR(F94="",H94=""),"",IF(F94=H94,1,IF(F94&lt;H94,0,IF(F94-H94&lt;10,2,IF(F94&gt;H94,3,SE)))))</f>
        <v>3</v>
      </c>
      <c r="D94" s="155" t="str">
        <f>V69</f>
        <v>ManchesterUrubu City</v>
      </c>
      <c r="E94" s="155"/>
      <c r="F94" s="57">
        <v>67</v>
      </c>
      <c r="G94" s="58" t="s">
        <v>22</v>
      </c>
      <c r="H94" s="55">
        <v>39</v>
      </c>
      <c r="I94" s="155" t="str">
        <f>V68</f>
        <v>André fogão</v>
      </c>
      <c r="J94" s="155"/>
      <c r="K94" s="155"/>
      <c r="L94" s="155"/>
      <c r="M94" s="155"/>
      <c r="N94" s="155"/>
      <c r="O94" s="155"/>
      <c r="P94" s="155"/>
      <c r="Q94" s="2">
        <f>IF(OR(H94="",F94=""),"",IF(H94=F94,1,IF(H94&lt;F94,0,IF(H94-F94&lt;10,2,IF(H94&gt;F94,3,SE)))))</f>
        <v>0</v>
      </c>
      <c r="R94" s="9"/>
      <c r="S94" s="9"/>
      <c r="T94" s="9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2"/>
    </row>
    <row r="95" spans="3:37" ht="15.75" thickBot="1" x14ac:dyDescent="0.3">
      <c r="C95" s="2" t="str">
        <f>IF(OR(F95="",H95=""),"",IF(F95=H95,1,IF(F95&lt;H95,0,IF(F95-H95&lt;10,2,IF(F95&gt;H95,3,SE)))))</f>
        <v/>
      </c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2" t="str">
        <f>IF(OR(H95="",F95=""),"",IF(H95=F95,1,IF(H95&lt;F95,0,IF(H95-F95&lt;10,2,IF(H95&gt;F95,3,SE)))))</f>
        <v/>
      </c>
      <c r="R95" s="9"/>
      <c r="S95" s="9"/>
      <c r="T95" s="9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2"/>
    </row>
    <row r="96" spans="3:37" x14ac:dyDescent="0.25">
      <c r="C96" s="2" t="str">
        <f>IF(OR(F96="",H96=""),"",IF(F96=H96,1,IF(F96&lt;H96,0,IF(F96-H96&lt;10,2,IF(F96&gt;H96,3,SE)))))</f>
        <v/>
      </c>
      <c r="D96" s="142" t="s">
        <v>27</v>
      </c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3"/>
      <c r="P96" s="144"/>
      <c r="Q96" s="2" t="str">
        <f>IF(OR(H96="",F96=""),"",IF(H96=F96,1,IF(H96&lt;F96,0,IF(H96-F96&lt;10,2,IF(H96&gt;F96,3,SE)))))</f>
        <v/>
      </c>
      <c r="R96" s="9"/>
      <c r="S96" s="9"/>
      <c r="T96" s="9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2"/>
    </row>
    <row r="97" spans="3:39" ht="15.75" thickBot="1" x14ac:dyDescent="0.3">
      <c r="C97" s="2" t="str">
        <f>IF(OR(F97="",H97=""),"",IF(F97=H97,1,IF(F97&lt;H97,0,IF(F97-H97&lt;10,2,IF(F97&gt;H97,3,SE)))))</f>
        <v/>
      </c>
      <c r="D97" s="145"/>
      <c r="E97" s="146"/>
      <c r="F97" s="146"/>
      <c r="G97" s="146"/>
      <c r="H97" s="146"/>
      <c r="I97" s="146"/>
      <c r="J97" s="146"/>
      <c r="K97" s="146"/>
      <c r="L97" s="146"/>
      <c r="M97" s="146"/>
      <c r="N97" s="146"/>
      <c r="O97" s="146"/>
      <c r="P97" s="147"/>
      <c r="Q97" s="2" t="str">
        <f>IF(OR(H97="",F97=""),"",IF(H97=F97,1,IF(H97&lt;F97,0,IF(H97-F97&lt;10,2,IF(H97&gt;F97,3,SE)))))</f>
        <v/>
      </c>
      <c r="R97" s="9"/>
      <c r="S97" s="9"/>
      <c r="T97" s="9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2"/>
    </row>
    <row r="98" spans="3:39" x14ac:dyDescent="0.25">
      <c r="C98" s="2" t="str">
        <f>IF(OR(F98="",H98=""),"",IF(F98=H98,1,IF(F98&lt;H98,0,IF(F98-H98&lt;10,2,IF(F98&gt;H98,3,SE)))))</f>
        <v/>
      </c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2" t="str">
        <f>IF(OR(H98="",F98=""),"",IF(H98=F98,1,IF(H98&lt;F98,0,IF(H98-F98&lt;10,2,IF(H98&gt;F98,3,SE)))))</f>
        <v/>
      </c>
      <c r="R98" s="9"/>
      <c r="S98" s="9"/>
      <c r="T98" s="9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2"/>
    </row>
    <row r="99" spans="3:39" x14ac:dyDescent="0.25">
      <c r="C99" s="2">
        <f>IF(OR(F99="",H99=""),"",IF(F99=H99,1,IF(F99&lt;H99,0,IF(F99-H99&lt;10,2,IF(F99&gt;H99,3,SE)))))</f>
        <v>0</v>
      </c>
      <c r="D99" s="155" t="str">
        <f>V70</f>
        <v>Grajaú F.C.</v>
      </c>
      <c r="E99" s="155"/>
      <c r="F99" s="55">
        <v>78</v>
      </c>
      <c r="G99" s="58" t="s">
        <v>22</v>
      </c>
      <c r="H99" s="57">
        <v>91</v>
      </c>
      <c r="I99" s="155" t="str">
        <f>V68</f>
        <v>André fogão</v>
      </c>
      <c r="J99" s="155"/>
      <c r="K99" s="155"/>
      <c r="L99" s="155"/>
      <c r="M99" s="155"/>
      <c r="N99" s="155"/>
      <c r="O99" s="155"/>
      <c r="P99" s="155"/>
      <c r="Q99" s="2">
        <f>IF(OR(H99="",F99=""),"",IF(H99=F99,1,IF(H99&lt;F99,0,IF(H99-F99&lt;10,2,IF(H99&gt;F99,3,SE)))))</f>
        <v>3</v>
      </c>
      <c r="R99" s="9"/>
      <c r="S99" s="9"/>
      <c r="T99" s="9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2"/>
    </row>
    <row r="100" spans="3:39" x14ac:dyDescent="0.25">
      <c r="C100" s="2">
        <f>IF(OR(F100="",H100=""),"",IF(F100=H100,1,IF(F100&lt;H100,0,IF(F100-H100&lt;10,2,IF(F100&gt;H100,3,SE)))))</f>
        <v>3</v>
      </c>
      <c r="D100" s="155" t="str">
        <f>V69</f>
        <v>ManchesterUrubu City</v>
      </c>
      <c r="E100" s="155"/>
      <c r="F100" s="57">
        <v>84</v>
      </c>
      <c r="G100" s="58" t="s">
        <v>22</v>
      </c>
      <c r="H100" s="55">
        <v>73</v>
      </c>
      <c r="I100" s="155" t="str">
        <f>V67</f>
        <v xml:space="preserve">Real Grotinha United </v>
      </c>
      <c r="J100" s="155"/>
      <c r="K100" s="155"/>
      <c r="L100" s="155"/>
      <c r="M100" s="155"/>
      <c r="N100" s="155"/>
      <c r="O100" s="155"/>
      <c r="P100" s="155"/>
      <c r="Q100" s="2">
        <f>IF(OR(H100="",F100=""),"",IF(H100=F100,1,IF(H100&lt;F100,0,IF(H100-F100&lt;10,2,IF(H100&gt;F100,3,SE)))))</f>
        <v>0</v>
      </c>
      <c r="R100" s="9"/>
      <c r="S100" s="9"/>
      <c r="T100" s="9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2"/>
    </row>
    <row r="101" spans="3:39" ht="15.75" thickBot="1" x14ac:dyDescent="0.3">
      <c r="C101" s="2" t="str">
        <f>IF(OR(F101="",H101=""),"",IF(F101=H101,1,IF(F101&lt;H101,0,IF(F101-H101&lt;10,2,IF(F101&gt;H101,3,SE)))))</f>
        <v/>
      </c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2" t="str">
        <f>IF(OR(H101="",F101=""),"",IF(H101=F101,1,IF(H101&lt;F101,0,IF(H101-F101&lt;10,2,IF(H101&gt;F101,3,SE)))))</f>
        <v/>
      </c>
      <c r="R101" s="9"/>
      <c r="S101" s="9"/>
      <c r="T101" s="9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2"/>
    </row>
    <row r="102" spans="3:39" x14ac:dyDescent="0.25">
      <c r="C102" s="2" t="str">
        <f>IF(OR(F102="",H102=""),"",IF(F102=H102,1,IF(F102&lt;H102,0,IF(F102-H102&lt;10,2,IF(F102&gt;H102,3,SE)))))</f>
        <v/>
      </c>
      <c r="D102" s="142" t="s">
        <v>28</v>
      </c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43"/>
      <c r="P102" s="144"/>
      <c r="Q102" s="2" t="str">
        <f>IF(OR(H102="",F102=""),"",IF(H102=F102,1,IF(H102&lt;F102,0,IF(H102-F102&lt;10,2,IF(H102&gt;F102,3,SE)))))</f>
        <v/>
      </c>
      <c r="R102" s="9"/>
      <c r="S102" s="9"/>
      <c r="T102" s="9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2"/>
    </row>
    <row r="103" spans="3:39" ht="15.75" thickBot="1" x14ac:dyDescent="0.3">
      <c r="C103" s="2" t="str">
        <f>IF(OR(F103="",H103=""),"",IF(F103=H103,1,IF(F103&lt;H103,0,IF(F103-H103&lt;10,2,IF(F103&gt;H103,3,SE)))))</f>
        <v/>
      </c>
      <c r="D103" s="145"/>
      <c r="E103" s="146"/>
      <c r="F103" s="146"/>
      <c r="G103" s="146"/>
      <c r="H103" s="146"/>
      <c r="I103" s="146"/>
      <c r="J103" s="146"/>
      <c r="K103" s="146"/>
      <c r="L103" s="146"/>
      <c r="M103" s="146"/>
      <c r="N103" s="146"/>
      <c r="O103" s="146"/>
      <c r="P103" s="147"/>
      <c r="Q103" s="2" t="str">
        <f>IF(OR(H103="",F103=""),"",IF(H103=F103,1,IF(H103&lt;F103,0,IF(H103-F103&lt;10,2,IF(H103&gt;F103,3,SE)))))</f>
        <v/>
      </c>
      <c r="R103" s="9"/>
      <c r="S103" s="9"/>
      <c r="T103" s="9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2"/>
    </row>
    <row r="104" spans="3:39" x14ac:dyDescent="0.25">
      <c r="C104" s="2" t="str">
        <f>IF(OR(F104="",H104=""),"",IF(F104=H104,1,IF(F104&lt;H104,0,IF(F104-H104&lt;10,2,IF(F104&gt;H104,3,SE)))))</f>
        <v/>
      </c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2" t="str">
        <f>IF(OR(H104="",F104=""),"",IF(H104=F104,1,IF(H104&lt;F104,0,IF(H104-F104&lt;10,2,IF(H104&gt;F104,3,SE)))))</f>
        <v/>
      </c>
      <c r="R104" s="9"/>
      <c r="S104" s="9"/>
      <c r="T104" s="9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2"/>
    </row>
    <row r="105" spans="3:39" x14ac:dyDescent="0.25">
      <c r="C105" s="2">
        <f>IF(OR(F105="",H105=""),"",IF(F105=H105,1,IF(F105&lt;H105,0,IF(F105-H105&lt;10,2,IF(F105&gt;H105,3,SE)))))</f>
        <v>0</v>
      </c>
      <c r="D105" s="155" t="str">
        <f>V70</f>
        <v>Grajaú F.C.</v>
      </c>
      <c r="E105" s="155"/>
      <c r="F105" s="55">
        <v>55</v>
      </c>
      <c r="G105" s="56" t="s">
        <v>22</v>
      </c>
      <c r="H105" s="57">
        <v>61</v>
      </c>
      <c r="I105" s="155" t="str">
        <f>V69</f>
        <v>ManchesterUrubu City</v>
      </c>
      <c r="J105" s="155"/>
      <c r="K105" s="155"/>
      <c r="L105" s="155"/>
      <c r="M105" s="155"/>
      <c r="N105" s="155"/>
      <c r="O105" s="155"/>
      <c r="P105" s="155"/>
      <c r="Q105" s="2">
        <f>IF(OR(H105="",F105=""),"",IF(H105=F105,1,IF(H105&lt;F105,0,IF(H105-F105&lt;10,2,IF(H105&gt;F105,3,SE)))))</f>
        <v>2</v>
      </c>
      <c r="R105" s="9"/>
      <c r="S105" s="9"/>
      <c r="T105" s="9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2"/>
    </row>
    <row r="106" spans="3:39" x14ac:dyDescent="0.25">
      <c r="C106" s="2">
        <f>IF(OR(F106="",H106=""),"",IF(F106=H106,1,IF(F106&lt;H106,0,IF(F106-H106&lt;10,2,IF(F106&gt;H106,3,SE)))))</f>
        <v>0</v>
      </c>
      <c r="D106" s="155" t="str">
        <f>V68</f>
        <v>André fogão</v>
      </c>
      <c r="E106" s="155"/>
      <c r="F106" s="55">
        <v>63</v>
      </c>
      <c r="G106" s="56" t="s">
        <v>22</v>
      </c>
      <c r="H106" s="57">
        <v>71</v>
      </c>
      <c r="I106" s="155" t="str">
        <f>V67</f>
        <v xml:space="preserve">Real Grotinha United </v>
      </c>
      <c r="J106" s="155"/>
      <c r="K106" s="155"/>
      <c r="L106" s="155"/>
      <c r="M106" s="155"/>
      <c r="N106" s="155"/>
      <c r="O106" s="155"/>
      <c r="P106" s="155"/>
      <c r="Q106" s="2">
        <f>IF(OR(H106="",F106=""),"",IF(H106=F106,1,IF(H106&lt;F106,0,IF(H106-F106&lt;10,2,IF(H106&gt;F106,3,SE)))))</f>
        <v>2</v>
      </c>
      <c r="R106" s="9"/>
      <c r="S106" s="9"/>
      <c r="T106" s="9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2"/>
    </row>
    <row r="107" spans="3:39" x14ac:dyDescent="0.25">
      <c r="C107" s="2"/>
      <c r="D107" s="62"/>
      <c r="E107" s="62"/>
      <c r="F107" s="63"/>
      <c r="G107" s="64"/>
      <c r="H107" s="63"/>
      <c r="I107" s="62"/>
      <c r="J107" s="62"/>
      <c r="K107" s="62"/>
      <c r="L107" s="62"/>
      <c r="M107" s="62"/>
      <c r="N107" s="62"/>
      <c r="O107" s="62"/>
      <c r="P107" s="62"/>
      <c r="Q107" s="2"/>
      <c r="R107" s="9"/>
      <c r="S107" s="9"/>
      <c r="T107" s="9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2"/>
    </row>
    <row r="108" spans="3:39" x14ac:dyDescent="0.25">
      <c r="C108" s="2"/>
      <c r="D108" s="62"/>
      <c r="E108" s="62"/>
      <c r="F108" s="63"/>
      <c r="G108" s="64"/>
      <c r="H108" s="63"/>
      <c r="I108" s="62"/>
      <c r="J108" s="62"/>
      <c r="K108" s="62"/>
      <c r="L108" s="62"/>
      <c r="M108" s="62"/>
      <c r="N108" s="62"/>
      <c r="O108" s="62"/>
      <c r="P108" s="62"/>
      <c r="Q108" s="2"/>
      <c r="R108" s="9"/>
      <c r="S108" s="9"/>
      <c r="T108" s="9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2"/>
    </row>
    <row r="109" spans="3:39" x14ac:dyDescent="0.25">
      <c r="C109" s="2"/>
      <c r="D109" s="62"/>
      <c r="E109" s="62"/>
      <c r="F109" s="63"/>
      <c r="G109" s="64"/>
      <c r="H109" s="63"/>
      <c r="I109" s="62"/>
      <c r="J109" s="62"/>
      <c r="K109" s="62"/>
      <c r="L109" s="62"/>
      <c r="M109" s="62"/>
      <c r="N109" s="62"/>
      <c r="O109" s="62"/>
      <c r="P109" s="62"/>
      <c r="Q109" s="2"/>
      <c r="R109" s="9"/>
      <c r="S109" s="9"/>
      <c r="T109" s="9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2"/>
    </row>
    <row r="110" spans="3:39" x14ac:dyDescent="0.25">
      <c r="C110" s="2"/>
      <c r="D110" s="62"/>
      <c r="E110" s="62"/>
      <c r="F110" s="63"/>
      <c r="G110" s="64"/>
      <c r="H110" s="63"/>
      <c r="I110" s="62"/>
      <c r="J110" s="62"/>
      <c r="K110" s="62"/>
      <c r="L110" s="62"/>
      <c r="M110" s="62"/>
      <c r="N110" s="62"/>
      <c r="O110" s="62"/>
      <c r="P110" s="62"/>
      <c r="Q110" s="2"/>
      <c r="R110" s="9" t="s">
        <v>7</v>
      </c>
      <c r="S110" s="9"/>
      <c r="T110" s="9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2"/>
    </row>
    <row r="111" spans="3:39" x14ac:dyDescent="0.25">
      <c r="C111" s="2"/>
      <c r="D111" s="62"/>
      <c r="E111" s="62"/>
      <c r="F111" s="63"/>
      <c r="G111" s="64"/>
      <c r="H111" s="63"/>
      <c r="I111" s="62"/>
      <c r="J111" s="62"/>
      <c r="K111" s="62"/>
      <c r="L111" s="62"/>
      <c r="M111" s="62"/>
      <c r="N111" s="62"/>
      <c r="O111" s="62"/>
      <c r="P111" s="62"/>
      <c r="Q111" s="2"/>
      <c r="R111" s="9" t="s">
        <v>16</v>
      </c>
      <c r="S111" s="9"/>
      <c r="T111" s="9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2"/>
    </row>
    <row r="112" spans="3:39" x14ac:dyDescent="0.25">
      <c r="C112" s="2"/>
      <c r="D112" s="62"/>
      <c r="E112" s="62"/>
      <c r="F112" s="63"/>
      <c r="G112" s="64"/>
      <c r="H112" s="63"/>
      <c r="I112" s="62"/>
      <c r="J112" s="62"/>
      <c r="K112" s="62"/>
      <c r="L112" s="62"/>
      <c r="M112" s="62"/>
      <c r="N112" s="62"/>
      <c r="O112" s="62"/>
      <c r="P112" s="62"/>
      <c r="Q112" s="2"/>
      <c r="R112" s="9" t="s">
        <v>55</v>
      </c>
      <c r="S112" s="9"/>
      <c r="T112" s="9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2"/>
      <c r="AL112" s="72"/>
      <c r="AM112" s="72"/>
    </row>
    <row r="113" spans="3:39" x14ac:dyDescent="0.25">
      <c r="C113" s="2"/>
      <c r="D113" s="62"/>
      <c r="E113" s="62"/>
      <c r="F113" s="63"/>
      <c r="G113" s="64"/>
      <c r="H113" s="63"/>
      <c r="I113" s="62"/>
      <c r="J113" s="62"/>
      <c r="K113" s="62"/>
      <c r="L113" s="62"/>
      <c r="M113" s="62"/>
      <c r="N113" s="62"/>
      <c r="O113" s="62"/>
      <c r="P113" s="62"/>
      <c r="Q113" s="2"/>
      <c r="R113" s="9" t="s">
        <v>56</v>
      </c>
      <c r="S113" s="9"/>
      <c r="T113" s="9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2"/>
      <c r="AL113" s="72"/>
      <c r="AM113" s="72"/>
    </row>
    <row r="114" spans="3:39" ht="15.75" thickBot="1" x14ac:dyDescent="0.3">
      <c r="C114" s="2" t="str">
        <f>IF(OR(F114="",H114=""),"",IF(F114=H114,1,IF(F114&lt;H114,0,IF(F114-H114&lt;10,2,IF(F114&gt;H114,3,SE)))))</f>
        <v/>
      </c>
      <c r="Q114" s="2" t="str">
        <f>IF(OR(H114="",F114=""),"",IF(H114=F114,1,IF(H114&lt;F114,0,IF(H114-F114&lt;10,2,IF(H114&gt;F114,3,SE)))))</f>
        <v/>
      </c>
      <c r="R114" s="9" t="s">
        <v>57</v>
      </c>
      <c r="S114" s="9"/>
      <c r="T114" s="9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2"/>
      <c r="AL114" s="72"/>
      <c r="AM114" s="72"/>
    </row>
    <row r="115" spans="3:39" ht="15" customHeight="1" x14ac:dyDescent="0.25">
      <c r="C115" s="2"/>
      <c r="D115" s="142" t="s">
        <v>30</v>
      </c>
      <c r="E115" s="143"/>
      <c r="F115" s="143"/>
      <c r="G115" s="143"/>
      <c r="H115" s="143"/>
      <c r="I115" s="143"/>
      <c r="J115" s="143"/>
      <c r="K115" s="143"/>
      <c r="L115" s="143"/>
      <c r="M115" s="143"/>
      <c r="N115" s="143"/>
      <c r="O115" s="144"/>
      <c r="Q115" s="2" t="str">
        <f>IF(OR(H115="",F115=""),"",IF(H115=F115,1,IF(H115&lt;F115,0,IF(H115-F115&lt;10,2,IF(H115&gt;F115,3,SE)))))</f>
        <v/>
      </c>
      <c r="R115" s="9" t="s">
        <v>58</v>
      </c>
      <c r="S115" s="9"/>
      <c r="T115" s="9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2"/>
      <c r="AL115" s="72"/>
      <c r="AM115" s="72"/>
    </row>
    <row r="116" spans="3:39" ht="15.75" customHeight="1" thickBot="1" x14ac:dyDescent="0.3">
      <c r="C116" s="2"/>
      <c r="D116" s="145"/>
      <c r="E116" s="146"/>
      <c r="F116" s="146"/>
      <c r="G116" s="146"/>
      <c r="H116" s="146"/>
      <c r="I116" s="146"/>
      <c r="J116" s="146"/>
      <c r="K116" s="146"/>
      <c r="L116" s="146"/>
      <c r="M116" s="146"/>
      <c r="N116" s="146"/>
      <c r="O116" s="147"/>
      <c r="Q116" s="2" t="str">
        <f>IF(OR(H116="",F116=""),"",IF(H116=F116,1,IF(H116&lt;F116,0,IF(H116-F116&lt;10,2,IF(H116&gt;F116,3,SE)))))</f>
        <v/>
      </c>
      <c r="R116" s="9" t="s">
        <v>59</v>
      </c>
      <c r="S116" s="9"/>
      <c r="T116" s="9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2"/>
      <c r="AL116" s="72"/>
      <c r="AM116" s="72"/>
    </row>
    <row r="117" spans="3:39" ht="15.75" thickBot="1" x14ac:dyDescent="0.3">
      <c r="C117" s="2"/>
      <c r="D117" s="4" t="s">
        <v>2</v>
      </c>
      <c r="E117" s="5" t="s">
        <v>3</v>
      </c>
      <c r="F117" s="5" t="s">
        <v>48</v>
      </c>
      <c r="G117" s="5" t="s">
        <v>4</v>
      </c>
      <c r="H117" s="5" t="s">
        <v>49</v>
      </c>
      <c r="I117" s="5" t="s">
        <v>50</v>
      </c>
      <c r="J117" s="5" t="s">
        <v>51</v>
      </c>
      <c r="K117" s="5" t="s">
        <v>52</v>
      </c>
      <c r="L117" s="5" t="s">
        <v>54</v>
      </c>
      <c r="M117" s="5" t="s">
        <v>5</v>
      </c>
      <c r="N117" s="5" t="s">
        <v>6</v>
      </c>
      <c r="O117" s="21" t="s">
        <v>53</v>
      </c>
      <c r="Q117" s="2"/>
      <c r="R117" s="9" t="s">
        <v>60</v>
      </c>
      <c r="S117" s="9"/>
      <c r="T117" s="9"/>
      <c r="U117" s="6" t="s">
        <v>2</v>
      </c>
      <c r="V117" s="6" t="s">
        <v>8</v>
      </c>
      <c r="W117" s="6" t="s">
        <v>48</v>
      </c>
      <c r="X117" s="6" t="s">
        <v>4</v>
      </c>
      <c r="Y117" s="6" t="s">
        <v>49</v>
      </c>
      <c r="Z117" s="6" t="s">
        <v>50</v>
      </c>
      <c r="AA117" s="6" t="s">
        <v>51</v>
      </c>
      <c r="AB117" s="6" t="s">
        <v>52</v>
      </c>
      <c r="AC117" s="6" t="s">
        <v>9</v>
      </c>
      <c r="AD117" s="6" t="s">
        <v>10</v>
      </c>
      <c r="AE117" s="6" t="s">
        <v>11</v>
      </c>
      <c r="AF117" s="6" t="s">
        <v>53</v>
      </c>
      <c r="AG117" s="6" t="s">
        <v>12</v>
      </c>
      <c r="AH117" s="6" t="s">
        <v>13</v>
      </c>
      <c r="AI117" s="6" t="s">
        <v>14</v>
      </c>
      <c r="AJ117" s="3"/>
      <c r="AK117" s="2"/>
      <c r="AL117" s="72"/>
      <c r="AM117" s="72"/>
    </row>
    <row r="118" spans="3:39" x14ac:dyDescent="0.25">
      <c r="C118" s="2"/>
      <c r="D118" s="30" t="s">
        <v>15</v>
      </c>
      <c r="E118" s="31" t="str">
        <f>VLOOKUP(AI118,$U$118:$AH$121,2)</f>
        <v xml:space="preserve">Engenheirense </v>
      </c>
      <c r="F118" s="31">
        <f>VLOOKUP(AI118,$U$118:$AH$121,3)</f>
        <v>6</v>
      </c>
      <c r="G118" s="31">
        <f>VLOOKUP(AI118,$U$118:$AH$121,4)</f>
        <v>15</v>
      </c>
      <c r="H118" s="32">
        <f>VLOOKUP(AI118,$U$118:$AH$121,5)</f>
        <v>5</v>
      </c>
      <c r="I118" s="32">
        <f>VLOOKUP(AI118,$U$118:$AH$121,6)</f>
        <v>0</v>
      </c>
      <c r="J118" s="32">
        <f>VLOOKUP(AI118,$U$118:$AH$121,7)</f>
        <v>0</v>
      </c>
      <c r="K118" s="32">
        <f>VLOOKUP(AI118,$U$118:$AH$121,8)</f>
        <v>1</v>
      </c>
      <c r="L118" s="32">
        <f>VLOOKUP(AI118,$U$118:$AH$121,9)</f>
        <v>305</v>
      </c>
      <c r="M118" s="32">
        <f>VLOOKUP(AI118,$U$118:$AH$121,10)</f>
        <v>173</v>
      </c>
      <c r="N118" s="31">
        <f>VLOOKUP(AI118,$U$118:$AH$121,11)</f>
        <v>132</v>
      </c>
      <c r="O118" s="45">
        <f>VLOOKUP(AI118,$U$118:$AH$121,12)</f>
        <v>0.83333333333333337</v>
      </c>
      <c r="Q118" s="2"/>
      <c r="R118" s="9" t="s">
        <v>20</v>
      </c>
      <c r="S118" s="9"/>
      <c r="T118" s="9"/>
      <c r="U118" s="6">
        <v>1</v>
      </c>
      <c r="V118" s="3" t="s">
        <v>99</v>
      </c>
      <c r="W118" s="3">
        <f>COUNT($F$126,$F$132,$F$138,$F$144,$F$150,$F$156)</f>
        <v>6</v>
      </c>
      <c r="X118" s="3">
        <f>SUM(Q126,Q133,Q139,Q144,Q151,Q157)</f>
        <v>0</v>
      </c>
      <c r="Y118" s="3">
        <f>SUM(COUNTIFS($C$126:$C$157,3,$D$126:$D$157,V118),COUNTIFS($I$126:$I$157,V118,$Q$126:$Q$157,3))</f>
        <v>0</v>
      </c>
      <c r="Z118" s="3">
        <f>SUM(COUNTIFS($C$126:$C$157,2,$D$126:$D$157,V118),COUNTIFS($I$126:$I$157,V118,$Q$126:$Q$157,2))</f>
        <v>0</v>
      </c>
      <c r="AA118" s="3">
        <f>SUM(COUNTIFS($C$126:$C$157,1,$D$126:$D$157,V118),COUNTIFS($I$126:$I$157,V118,$Q$126:$Q$157,1))</f>
        <v>0</v>
      </c>
      <c r="AB118" s="3">
        <f>SUM(COUNTIFS($C$126:$C$157,0,$D$126:$D$157,V118),COUNTIFS($I$126:$I$157,V118,$Q$126:$Q$157,0))</f>
        <v>6</v>
      </c>
      <c r="AC118" s="7">
        <f>SUM(H144,H151,H157,H126,H133,H139)</f>
        <v>0</v>
      </c>
      <c r="AD118" s="7">
        <f>SUM(F126,F133,F139,F144,F151,F157)</f>
        <v>271</v>
      </c>
      <c r="AE118" s="7">
        <f>AC118-AD118</f>
        <v>-271</v>
      </c>
      <c r="AF118" s="7">
        <f>IF(OR($F$126="",$H$126=""),0,(X118/(W118*3)))</f>
        <v>0</v>
      </c>
      <c r="AG118" s="3">
        <f>(X118*10^10)+((AC118+5000)*10^6)+AE118*10+U118</f>
        <v>4999997291</v>
      </c>
      <c r="AH118" s="3">
        <f>LARGE($AG$118:$AG$121,U118)</f>
        <v>155305001322</v>
      </c>
      <c r="AI118" s="8">
        <f>MATCH(AH118,$AG$118:$AG$121,0)</f>
        <v>2</v>
      </c>
      <c r="AJ118" s="3"/>
      <c r="AK118" s="2"/>
      <c r="AL118" s="72"/>
      <c r="AM118" s="72"/>
    </row>
    <row r="119" spans="3:39" ht="15.75" thickBot="1" x14ac:dyDescent="0.3">
      <c r="C119" s="2"/>
      <c r="D119" s="33" t="s">
        <v>17</v>
      </c>
      <c r="E119" s="24" t="str">
        <f t="shared" ref="E119:E121" si="34">VLOOKUP(AI119,$U$118:$AH$121,2)</f>
        <v xml:space="preserve">Tribe of Gypsies </v>
      </c>
      <c r="F119" s="24">
        <f t="shared" ref="F119:F121" si="35">VLOOKUP(AI119,$U$118:$AH$121,3)</f>
        <v>6</v>
      </c>
      <c r="G119" s="24">
        <f t="shared" ref="G119:G121" si="36">VLOOKUP(AI119,$U$118:$AH$121,4)</f>
        <v>11</v>
      </c>
      <c r="H119" s="25">
        <f t="shared" ref="H119:H121" si="37">VLOOKUP(AI119,$U$118:$AH$121,5)</f>
        <v>3</v>
      </c>
      <c r="I119" s="25">
        <f t="shared" ref="I119:I121" si="38">VLOOKUP(AI119,$U$118:$AH$121,6)</f>
        <v>1</v>
      </c>
      <c r="J119" s="25">
        <f t="shared" ref="J119:J121" si="39">VLOOKUP(AI119,$U$118:$AH$121,7)</f>
        <v>0</v>
      </c>
      <c r="K119" s="25">
        <f t="shared" ref="K119:K121" si="40">VLOOKUP(AI119,$U$118:$AH$121,8)</f>
        <v>2</v>
      </c>
      <c r="L119" s="25">
        <f t="shared" ref="L119:L121" si="41">VLOOKUP(AI119,$U$118:$AH$121,9)</f>
        <v>262</v>
      </c>
      <c r="M119" s="25">
        <f t="shared" ref="M119:M121" si="42">VLOOKUP(AI119,$U$118:$AH$121,10)</f>
        <v>223</v>
      </c>
      <c r="N119" s="24">
        <f t="shared" ref="N119:N121" si="43">VLOOKUP(AI119,$U$118:$AH$121,11)</f>
        <v>39</v>
      </c>
      <c r="O119" s="42">
        <f t="shared" ref="O119:O121" si="44">VLOOKUP(AI119,$U$118:$AH$121,12)</f>
        <v>0.61111111111111116</v>
      </c>
      <c r="Q119" s="2"/>
      <c r="R119" s="9" t="s">
        <v>61</v>
      </c>
      <c r="S119" s="9"/>
      <c r="T119" s="9"/>
      <c r="U119" s="6">
        <v>2</v>
      </c>
      <c r="V119" s="3" t="s">
        <v>95</v>
      </c>
      <c r="W119" s="3">
        <f t="shared" ref="W119:W121" si="45">COUNT($F$126,$F$132,$F$138,$F$144,$F$150,$F$156)</f>
        <v>6</v>
      </c>
      <c r="X119" s="3">
        <f>SUM(Q127,Q132,C139,Q145,Q150,C157)</f>
        <v>15</v>
      </c>
      <c r="Y119" s="3">
        <f t="shared" ref="Y119:Y121" si="46">SUM(COUNTIFS($C$126:$C$157,3,$D$126:$D$157,V119),COUNTIFS($I$126:$I$157,V119,$Q$126:$Q$157,3))</f>
        <v>5</v>
      </c>
      <c r="Z119" s="3">
        <f t="shared" ref="Z119:Z121" si="47">SUM(COUNTIFS($C$126:$C$157,2,$D$126:$D$157,V119),COUNTIFS($I$126:$I$157,V119,$Q$126:$Q$157,2))</f>
        <v>0</v>
      </c>
      <c r="AA119" s="3">
        <f t="shared" ref="AA119:AA121" si="48">SUM(COUNTIFS($C$126:$C$157,1,$D$126:$D$157,V119),COUNTIFS($I$126:$I$157,V119,$Q$126:$Q$157,1))</f>
        <v>0</v>
      </c>
      <c r="AB119" s="3">
        <f t="shared" ref="AB119:AB121" si="49">SUM(COUNTIFS($C$126:$C$157,0,$D$126:$D$157,V119),COUNTIFS($I$126:$I$157,V119,$Q$126:$Q$157,0))</f>
        <v>1</v>
      </c>
      <c r="AC119" s="7">
        <f>SUM(H127,H132,F139,H145,H150,F157)</f>
        <v>305</v>
      </c>
      <c r="AD119" s="7">
        <f>SUM(H157,F150,F145,H139,F132,F127)</f>
        <v>173</v>
      </c>
      <c r="AE119" s="7">
        <f t="shared" ref="AE119:AE121" si="50">AC119-AD119</f>
        <v>132</v>
      </c>
      <c r="AF119" s="7">
        <f t="shared" ref="AF119:AF121" si="51">IF(OR($F$126="",$H$126=""),0,(X119/(W119*3)))</f>
        <v>0.83333333333333337</v>
      </c>
      <c r="AG119" s="3">
        <f t="shared" ref="AG119:AG121" si="52">(X119*10^10)+((AC119+5000)*10^6)+AE119*10+U119</f>
        <v>155305001322</v>
      </c>
      <c r="AH119" s="3">
        <f t="shared" ref="AH119:AH121" si="53">LARGE($AG$118:$AG$121,U119)</f>
        <v>115262000394</v>
      </c>
      <c r="AI119" s="8">
        <f t="shared" ref="AI119:AI121" si="54">MATCH(AH119,$AG$118:$AG$121,0)</f>
        <v>4</v>
      </c>
      <c r="AJ119" s="3"/>
      <c r="AK119" s="2"/>
      <c r="AL119" s="72"/>
      <c r="AM119" s="72"/>
    </row>
    <row r="120" spans="3:39" ht="15.75" thickBot="1" x14ac:dyDescent="0.3">
      <c r="C120" s="2"/>
      <c r="D120" s="34" t="s">
        <v>18</v>
      </c>
      <c r="E120" s="26" t="str">
        <f t="shared" si="34"/>
        <v>Lucca Mengão</v>
      </c>
      <c r="F120" s="26">
        <f t="shared" si="35"/>
        <v>6</v>
      </c>
      <c r="G120" s="26">
        <f t="shared" si="36"/>
        <v>9</v>
      </c>
      <c r="H120" s="27">
        <f t="shared" si="37"/>
        <v>3</v>
      </c>
      <c r="I120" s="27">
        <f t="shared" si="38"/>
        <v>0</v>
      </c>
      <c r="J120" s="27">
        <f t="shared" si="39"/>
        <v>0</v>
      </c>
      <c r="K120" s="27">
        <f t="shared" si="40"/>
        <v>3</v>
      </c>
      <c r="L120" s="27">
        <f t="shared" si="41"/>
        <v>256</v>
      </c>
      <c r="M120" s="27">
        <f t="shared" si="42"/>
        <v>156</v>
      </c>
      <c r="N120" s="26">
        <f t="shared" si="43"/>
        <v>100</v>
      </c>
      <c r="O120" s="43">
        <f t="shared" si="44"/>
        <v>0.5</v>
      </c>
      <c r="Q120" s="2"/>
      <c r="R120" s="53"/>
      <c r="S120" s="9" t="s">
        <v>86</v>
      </c>
      <c r="T120" s="9"/>
      <c r="U120" s="6">
        <v>3</v>
      </c>
      <c r="V120" s="3" t="s">
        <v>89</v>
      </c>
      <c r="W120" s="3">
        <f t="shared" si="45"/>
        <v>6</v>
      </c>
      <c r="X120" s="3">
        <f>SUM(C127,C133,Q138,C145,C151,Q156)</f>
        <v>9</v>
      </c>
      <c r="Y120" s="3">
        <f t="shared" si="46"/>
        <v>3</v>
      </c>
      <c r="Z120" s="3">
        <f t="shared" si="47"/>
        <v>0</v>
      </c>
      <c r="AA120" s="3">
        <f t="shared" si="48"/>
        <v>0</v>
      </c>
      <c r="AB120" s="3">
        <f t="shared" si="49"/>
        <v>3</v>
      </c>
      <c r="AC120" s="7">
        <f>SUM(H156,F151,F145,H138,F133,F127)</f>
        <v>256</v>
      </c>
      <c r="AD120" s="7">
        <f>SUM(H127,H133,F138,H145,H151,F156)</f>
        <v>156</v>
      </c>
      <c r="AE120" s="7">
        <f t="shared" si="50"/>
        <v>100</v>
      </c>
      <c r="AF120" s="7">
        <f t="shared" si="51"/>
        <v>0.5</v>
      </c>
      <c r="AG120" s="3">
        <f t="shared" si="52"/>
        <v>95256001003</v>
      </c>
      <c r="AH120" s="3">
        <f>LARGE($AG$118:$AG$121,U120)</f>
        <v>95256001003</v>
      </c>
      <c r="AI120" s="8">
        <f t="shared" si="54"/>
        <v>3</v>
      </c>
      <c r="AJ120" s="3"/>
      <c r="AK120" s="2"/>
      <c r="AL120" s="72"/>
      <c r="AM120" s="72"/>
    </row>
    <row r="121" spans="3:39" ht="15.75" thickBot="1" x14ac:dyDescent="0.3">
      <c r="C121" s="2"/>
      <c r="D121" s="35" t="s">
        <v>19</v>
      </c>
      <c r="E121" s="28" t="str">
        <f t="shared" si="34"/>
        <v>Football legends Fc</v>
      </c>
      <c r="F121" s="28">
        <f t="shared" si="35"/>
        <v>6</v>
      </c>
      <c r="G121" s="28">
        <f t="shared" si="36"/>
        <v>0</v>
      </c>
      <c r="H121" s="29">
        <f t="shared" si="37"/>
        <v>0</v>
      </c>
      <c r="I121" s="29">
        <f t="shared" si="38"/>
        <v>0</v>
      </c>
      <c r="J121" s="29">
        <f t="shared" si="39"/>
        <v>0</v>
      </c>
      <c r="K121" s="29">
        <f t="shared" si="40"/>
        <v>6</v>
      </c>
      <c r="L121" s="29">
        <f t="shared" si="41"/>
        <v>0</v>
      </c>
      <c r="M121" s="29">
        <f t="shared" si="42"/>
        <v>271</v>
      </c>
      <c r="N121" s="28">
        <f t="shared" si="43"/>
        <v>-271</v>
      </c>
      <c r="O121" s="44">
        <f t="shared" si="44"/>
        <v>0</v>
      </c>
      <c r="Q121" s="2"/>
      <c r="R121" s="54"/>
      <c r="S121" s="9" t="s">
        <v>63</v>
      </c>
      <c r="T121" s="9"/>
      <c r="U121" s="6">
        <v>4</v>
      </c>
      <c r="V121" s="3" t="s">
        <v>93</v>
      </c>
      <c r="W121" s="3">
        <f t="shared" si="45"/>
        <v>6</v>
      </c>
      <c r="X121" s="3">
        <f>SUM(C126,C132,C138,C144,C150,C156)</f>
        <v>11</v>
      </c>
      <c r="Y121" s="3">
        <f t="shared" si="46"/>
        <v>3</v>
      </c>
      <c r="Z121" s="3">
        <f t="shared" si="47"/>
        <v>1</v>
      </c>
      <c r="AA121" s="3">
        <f t="shared" si="48"/>
        <v>0</v>
      </c>
      <c r="AB121" s="3">
        <f t="shared" si="49"/>
        <v>2</v>
      </c>
      <c r="AC121" s="7">
        <f>SUM(F126,F132,F138,F144,F150,F156,)</f>
        <v>262</v>
      </c>
      <c r="AD121" s="7">
        <f>SUM(H156,H150,H144,H138,H132,H126)</f>
        <v>223</v>
      </c>
      <c r="AE121" s="7">
        <f t="shared" si="50"/>
        <v>39</v>
      </c>
      <c r="AF121" s="7">
        <f t="shared" si="51"/>
        <v>0.61111111111111116</v>
      </c>
      <c r="AG121" s="3">
        <f t="shared" si="52"/>
        <v>115262000394</v>
      </c>
      <c r="AH121" s="3">
        <f t="shared" si="53"/>
        <v>4999997291</v>
      </c>
      <c r="AI121" s="8">
        <f t="shared" si="54"/>
        <v>1</v>
      </c>
      <c r="AJ121" s="3"/>
      <c r="AK121" s="2"/>
      <c r="AL121" s="72"/>
      <c r="AM121" s="72"/>
    </row>
    <row r="122" spans="3:39" ht="15.75" thickBot="1" x14ac:dyDescent="0.3">
      <c r="C122" s="2"/>
      <c r="Q122" s="2" t="str">
        <f>IF(OR(H122="",F122=""),"",IF(H122=F122,1,IF(H122&lt;F122,0,IF(H122-F122&lt;10,2,IF(H122&gt;F122,3,SE)))))</f>
        <v/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2"/>
      <c r="AL122" s="72"/>
      <c r="AM122" s="72"/>
    </row>
    <row r="123" spans="3:39" x14ac:dyDescent="0.25">
      <c r="C123" s="2" t="str">
        <f>IF(OR(F123="",H123=""),"",IF(F123=H123,1,IF(F123&lt;H123,0,IF(F123-H123&lt;10,2,IF(F123&gt;H123,3,SE)))))</f>
        <v/>
      </c>
      <c r="D123" s="156" t="s">
        <v>21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8"/>
      <c r="Q123" s="2" t="str">
        <f>IF(OR(H123="",F123=""),"",IF(H123=F123,1,IF(H123&lt;F123,0,IF(H123-F123&lt;10,2,IF(H123&gt;F123,3,SE)))))</f>
        <v/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2"/>
      <c r="AL123" s="72"/>
      <c r="AM123" s="72"/>
    </row>
    <row r="124" spans="3:39" ht="15.75" thickBot="1" x14ac:dyDescent="0.3">
      <c r="C124" s="2" t="str">
        <f>IF(OR(F124="",H124=""),"",IF(F124=H124,1,IF(F124&lt;H124,0,IF(F124-H124&lt;10,2,IF(F124&gt;H124,3,SE)))))</f>
        <v/>
      </c>
      <c r="D124" s="159"/>
      <c r="E124" s="160"/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1"/>
      <c r="Q124" s="2" t="str">
        <f>IF(OR(H124="",F124=""),"",IF(H124=F124,1,IF(H124&lt;F124,0,IF(H124-F124&lt;10,2,IF(H124&gt;F124,3,SE)))))</f>
        <v/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2"/>
      <c r="AL124" s="72"/>
      <c r="AM124" s="72"/>
    </row>
    <row r="125" spans="3:39" x14ac:dyDescent="0.25">
      <c r="C125" s="2" t="str">
        <f>IF(OR(F125="",H125=""),"",IF(F125=H125,1,IF(F125&lt;H125,0,IF(F125-H125&lt;10,2,IF(F125&gt;H125,3,SE)))))</f>
        <v/>
      </c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2" t="str">
        <f>IF(OR(H125="",F125=""),"",IF(H125=F125,1,IF(H125&lt;F125,0,IF(H125-F125&lt;10,2,IF(H125&gt;F125,3,SE)))))</f>
        <v/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2"/>
      <c r="AL125" s="72"/>
      <c r="AM125" s="72"/>
    </row>
    <row r="126" spans="3:39" x14ac:dyDescent="0.25">
      <c r="C126" s="2">
        <f>IF(OR(F126="",H126=""),"",IF(F126=H126,1,IF(F126&lt;H126,0,IF(F126-H126&lt;10,2,IF(F126&gt;H126,3,SE)))))</f>
        <v>3</v>
      </c>
      <c r="D126" s="155" t="str">
        <f>V121</f>
        <v xml:space="preserve">Tribe of Gypsies </v>
      </c>
      <c r="E126" s="155"/>
      <c r="F126" s="57">
        <v>30</v>
      </c>
      <c r="G126" s="56" t="s">
        <v>22</v>
      </c>
      <c r="H126" s="55">
        <v>0</v>
      </c>
      <c r="I126" s="155" t="str">
        <f>V118</f>
        <v>Football legends Fc</v>
      </c>
      <c r="J126" s="155"/>
      <c r="K126" s="155"/>
      <c r="L126" s="155"/>
      <c r="M126" s="155"/>
      <c r="N126" s="155"/>
      <c r="O126" s="155"/>
      <c r="P126" s="155"/>
      <c r="Q126" s="2">
        <f>IF(OR(H126="",F126=""),"",IF(H126=F126,1,IF(H126&lt;F126,0,IF(H126-F126&lt;10,2,IF(H126&gt;F126,3,SE)))))</f>
        <v>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2"/>
      <c r="AL126" s="72"/>
      <c r="AM126" s="72"/>
    </row>
    <row r="127" spans="3:39" x14ac:dyDescent="0.25">
      <c r="C127" s="2">
        <f>IF(OR(F127="",H127=""),"",IF(F127=H127,1,IF(F127&lt;H127,0,IF(F127-H127&lt;10,2,IF(F127&gt;H127,3,SE)))))</f>
        <v>0</v>
      </c>
      <c r="D127" s="155" t="str">
        <f>V120</f>
        <v>Lucca Mengão</v>
      </c>
      <c r="E127" s="155"/>
      <c r="F127" s="55">
        <v>19</v>
      </c>
      <c r="G127" s="56" t="s">
        <v>22</v>
      </c>
      <c r="H127" s="57">
        <v>34</v>
      </c>
      <c r="I127" s="155" t="str">
        <f>V119</f>
        <v xml:space="preserve">Engenheirense </v>
      </c>
      <c r="J127" s="155"/>
      <c r="K127" s="155"/>
      <c r="L127" s="155"/>
      <c r="M127" s="155"/>
      <c r="N127" s="155"/>
      <c r="O127" s="155"/>
      <c r="P127" s="155"/>
      <c r="Q127" s="2">
        <f>IF(OR(H127="",F127=""),"",IF(H127=F127,1,IF(H127&lt;F127,0,IF(H127-F127&lt;10,2,IF(H127&gt;F127,3,SE)))))</f>
        <v>3</v>
      </c>
      <c r="R127" s="9"/>
      <c r="S127" s="9"/>
      <c r="T127" s="9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2"/>
      <c r="AL127" s="72"/>
      <c r="AM127" s="72"/>
    </row>
    <row r="128" spans="3:39" ht="15.75" thickBot="1" x14ac:dyDescent="0.3">
      <c r="C128" s="2" t="str">
        <f>IF(OR(F128="",H128=""),"",IF(F128=H128,1,IF(F128&lt;H128,0,IF(F128-H128&lt;10,2,IF(F128&gt;H128,3,SE)))))</f>
        <v/>
      </c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2" t="str">
        <f>IF(OR(H128="",F128=""),"",IF(H128=F128,1,IF(H128&lt;F128,0,IF(H128-F128&lt;10,2,IF(H128&gt;F128,3,SE)))))</f>
        <v/>
      </c>
      <c r="R128" s="9"/>
      <c r="S128" s="9"/>
      <c r="T128" s="9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2"/>
      <c r="AL128" s="72"/>
      <c r="AM128" s="72"/>
    </row>
    <row r="129" spans="3:39" x14ac:dyDescent="0.25">
      <c r="C129" s="2" t="str">
        <f>IF(OR(F129="",H129=""),"",IF(F129=H129,1,IF(F129&lt;H129,0,IF(F129-H129&lt;10,2,IF(F129&gt;H129,3,SE)))))</f>
        <v/>
      </c>
      <c r="D129" s="142" t="s">
        <v>24</v>
      </c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4"/>
      <c r="Q129" s="2" t="str">
        <f>IF(OR(H129="",F129=""),"",IF(H129=F129,1,IF(H129&lt;F129,0,IF(H129-F129&lt;10,2,IF(H129&gt;F129,3,SE)))))</f>
        <v/>
      </c>
      <c r="R129" s="9"/>
      <c r="S129" s="9"/>
      <c r="T129" s="9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2"/>
      <c r="AL129" s="72"/>
      <c r="AM129" s="72"/>
    </row>
    <row r="130" spans="3:39" ht="15.75" thickBot="1" x14ac:dyDescent="0.3">
      <c r="C130" s="2" t="str">
        <f>IF(OR(F130="",H130=""),"",IF(F130=H130,1,IF(F130&lt;H130,0,IF(F130-H130&lt;10,2,IF(F130&gt;H130,3,SE)))))</f>
        <v/>
      </c>
      <c r="D130" s="145"/>
      <c r="E130" s="146"/>
      <c r="F130" s="146"/>
      <c r="G130" s="146"/>
      <c r="H130" s="146"/>
      <c r="I130" s="146"/>
      <c r="J130" s="146"/>
      <c r="K130" s="146"/>
      <c r="L130" s="146"/>
      <c r="M130" s="146"/>
      <c r="N130" s="146"/>
      <c r="O130" s="146"/>
      <c r="P130" s="147"/>
      <c r="Q130" s="2" t="str">
        <f>IF(OR(H130="",F130=""),"",IF(H130=F130,1,IF(H130&lt;F130,0,IF(H130-F130&lt;10,2,IF(H130&gt;F130,3,SE)))))</f>
        <v/>
      </c>
      <c r="R130" s="9"/>
      <c r="S130" s="9"/>
      <c r="T130" s="9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2"/>
      <c r="AL130" s="72"/>
      <c r="AM130" s="72"/>
    </row>
    <row r="131" spans="3:39" x14ac:dyDescent="0.25">
      <c r="C131" s="2" t="str">
        <f>IF(OR(F131="",H131=""),"",IF(F131=H131,1,IF(F131&lt;H131,0,IF(F131-H131&lt;10,2,IF(F131&gt;H131,3,SE)))))</f>
        <v/>
      </c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2" t="str">
        <f>IF(OR(H131="",F131=""),"",IF(H131=F131,1,IF(H131&lt;F131,0,IF(H131-F131&lt;10,2,IF(H131&gt;F131,3,SE)))))</f>
        <v/>
      </c>
      <c r="R131" s="9"/>
      <c r="S131" s="9"/>
      <c r="T131" s="9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2"/>
      <c r="AL131" s="72"/>
      <c r="AM131" s="72"/>
    </row>
    <row r="132" spans="3:39" x14ac:dyDescent="0.25">
      <c r="C132" s="2">
        <f>IF(OR(F132="",H132=""),"",IF(F132=H132,1,IF(F132&lt;H132,0,IF(F132-H132&lt;10,2,IF(F132&gt;H132,3,SE)))))</f>
        <v>3</v>
      </c>
      <c r="D132" s="155" t="str">
        <f>V121</f>
        <v xml:space="preserve">Tribe of Gypsies </v>
      </c>
      <c r="E132" s="155"/>
      <c r="F132" s="57">
        <v>72</v>
      </c>
      <c r="G132" s="58" t="s">
        <v>22</v>
      </c>
      <c r="H132" s="55">
        <v>62</v>
      </c>
      <c r="I132" s="155" t="str">
        <f>V119</f>
        <v xml:space="preserve">Engenheirense </v>
      </c>
      <c r="J132" s="155"/>
      <c r="K132" s="155"/>
      <c r="L132" s="155"/>
      <c r="M132" s="155"/>
      <c r="N132" s="155"/>
      <c r="O132" s="155"/>
      <c r="P132" s="155"/>
      <c r="Q132" s="2">
        <f>IF(OR(H132="",F132=""),"",IF(H132=F132,1,IF(H132&lt;F132,0,IF(H132-F132&lt;10,2,IF(H132&gt;F132,3,SE)))))</f>
        <v>0</v>
      </c>
      <c r="R132" s="9"/>
      <c r="S132" s="9"/>
      <c r="T132" s="9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2"/>
      <c r="AL132" s="72"/>
      <c r="AM132" s="72"/>
    </row>
    <row r="133" spans="3:39" x14ac:dyDescent="0.25">
      <c r="C133" s="2">
        <f>IF(OR(F133="",H133=""),"",IF(F133=H133,1,IF(F133&lt;H133,0,IF(F133-H133&lt;10,2,IF(F133&gt;H133,3,SE)))))</f>
        <v>3</v>
      </c>
      <c r="D133" s="155" t="str">
        <f>V120</f>
        <v>Lucca Mengão</v>
      </c>
      <c r="E133" s="155"/>
      <c r="F133" s="57">
        <v>45</v>
      </c>
      <c r="G133" s="58" t="s">
        <v>22</v>
      </c>
      <c r="H133" s="55">
        <v>0</v>
      </c>
      <c r="I133" s="155" t="str">
        <f>V118</f>
        <v>Football legends Fc</v>
      </c>
      <c r="J133" s="155"/>
      <c r="K133" s="155"/>
      <c r="L133" s="155"/>
      <c r="M133" s="155"/>
      <c r="N133" s="155"/>
      <c r="O133" s="155"/>
      <c r="P133" s="155"/>
      <c r="Q133" s="2">
        <f>IF(OR(H133="",F133=""),"",IF(H133=F133,1,IF(H133&lt;F133,0,IF(H133-F133&lt;10,2,IF(H133&gt;F133,3,SE)))))</f>
        <v>0</v>
      </c>
      <c r="R133" s="9"/>
      <c r="S133" s="9"/>
      <c r="T133" s="9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2"/>
      <c r="AL133" s="72"/>
      <c r="AM133" s="72"/>
    </row>
    <row r="134" spans="3:39" ht="15.75" thickBot="1" x14ac:dyDescent="0.3">
      <c r="C134" s="2" t="str">
        <f>IF(OR(F134="",H134=""),"",IF(F134=H134,1,IF(F134&lt;H134,0,IF(F134-H134&lt;10,2,IF(F134&gt;H134,3,SE)))))</f>
        <v/>
      </c>
      <c r="D134" s="59"/>
      <c r="E134" s="59"/>
      <c r="F134" s="65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2" t="str">
        <f>IF(OR(H134="",F134=""),"",IF(H134=F134,1,IF(H134&lt;F134,0,IF(H134-F134&lt;10,2,IF(H134&gt;F134,3,SE)))))</f>
        <v/>
      </c>
      <c r="R134" s="9"/>
      <c r="S134" s="9"/>
      <c r="T134" s="9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2"/>
      <c r="AL134" s="72"/>
      <c r="AM134" s="72"/>
    </row>
    <row r="135" spans="3:39" x14ac:dyDescent="0.25">
      <c r="C135" s="2" t="str">
        <f>IF(OR(F135="",H135=""),"",IF(F135=H135,1,IF(F135&lt;H135,0,IF(F135-H135&lt;10,2,IF(F135&gt;H135,3,SE)))))</f>
        <v/>
      </c>
      <c r="D135" s="142" t="s">
        <v>25</v>
      </c>
      <c r="E135" s="143"/>
      <c r="F135" s="143"/>
      <c r="G135" s="143"/>
      <c r="H135" s="143"/>
      <c r="I135" s="143"/>
      <c r="J135" s="143"/>
      <c r="K135" s="143"/>
      <c r="L135" s="143"/>
      <c r="M135" s="143"/>
      <c r="N135" s="143"/>
      <c r="O135" s="143"/>
      <c r="P135" s="144"/>
      <c r="Q135" s="2" t="str">
        <f>IF(OR(H135="",F135=""),"",IF(H135=F135,1,IF(H135&lt;F135,0,IF(H135-F135&lt;10,2,IF(H135&gt;F135,3,SE)))))</f>
        <v/>
      </c>
      <c r="R135" s="9"/>
      <c r="S135" s="9"/>
      <c r="T135" s="9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2"/>
      <c r="AL135" s="72"/>
      <c r="AM135" s="72"/>
    </row>
    <row r="136" spans="3:39" ht="15.75" thickBot="1" x14ac:dyDescent="0.3">
      <c r="C136" s="2" t="str">
        <f>IF(OR(F136="",H136=""),"",IF(F136=H136,1,IF(F136&lt;H136,0,IF(F136-H136&lt;10,2,IF(F136&gt;H136,3,SE)))))</f>
        <v/>
      </c>
      <c r="D136" s="145"/>
      <c r="E136" s="146"/>
      <c r="F136" s="146"/>
      <c r="G136" s="146"/>
      <c r="H136" s="146"/>
      <c r="I136" s="146"/>
      <c r="J136" s="146"/>
      <c r="K136" s="146"/>
      <c r="L136" s="146"/>
      <c r="M136" s="146"/>
      <c r="N136" s="146"/>
      <c r="O136" s="146"/>
      <c r="P136" s="147"/>
      <c r="Q136" s="2" t="str">
        <f>IF(OR(H136="",F136=""),"",IF(H136=F136,1,IF(H136&lt;F136,0,IF(H136-F136&lt;10,2,IF(H136&gt;F136,3,SE)))))</f>
        <v/>
      </c>
      <c r="R136" s="9"/>
      <c r="S136" s="9"/>
      <c r="T136" s="9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2"/>
      <c r="AL136" s="72"/>
      <c r="AM136" s="72"/>
    </row>
    <row r="137" spans="3:39" x14ac:dyDescent="0.25">
      <c r="C137" s="2" t="str">
        <f>IF(OR(F137="",H137=""),"",IF(F137=H137,1,IF(F137&lt;H137,0,IF(F137-H137&lt;10,2,IF(F137&gt;H137,3,SE)))))</f>
        <v/>
      </c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2" t="str">
        <f>IF(OR(H137="",F137=""),"",IF(H137=F137,1,IF(H137&lt;F137,0,IF(H137-F137&lt;10,2,IF(H137&gt;F137,3,SE)))))</f>
        <v/>
      </c>
      <c r="R137" s="9"/>
      <c r="S137" s="9"/>
      <c r="T137" s="9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2"/>
      <c r="AL137" s="72"/>
      <c r="AM137" s="72"/>
    </row>
    <row r="138" spans="3:39" x14ac:dyDescent="0.25">
      <c r="C138" s="2">
        <f>IF(OR(F138="",H138=""),"",IF(F138=H138,1,IF(F138&lt;H138,0,IF(F138-H138&lt;10,2,IF(F138&gt;H138,3,SE)))))</f>
        <v>2</v>
      </c>
      <c r="D138" s="155" t="str">
        <f>V121</f>
        <v xml:space="preserve">Tribe of Gypsies </v>
      </c>
      <c r="E138" s="155"/>
      <c r="F138" s="57">
        <v>35</v>
      </c>
      <c r="G138" s="58" t="s">
        <v>22</v>
      </c>
      <c r="H138" s="55">
        <v>30</v>
      </c>
      <c r="I138" s="155" t="str">
        <f>V120</f>
        <v>Lucca Mengão</v>
      </c>
      <c r="J138" s="155"/>
      <c r="K138" s="155"/>
      <c r="L138" s="155"/>
      <c r="M138" s="155"/>
      <c r="N138" s="155"/>
      <c r="O138" s="155"/>
      <c r="P138" s="155"/>
      <c r="Q138" s="2">
        <f>IF(OR(H138="",F138=""),"",IF(H138=F138,1,IF(H138&lt;F138,0,IF(H138-F138&lt;10,2,IF(H138&gt;F138,3,SE)))))</f>
        <v>0</v>
      </c>
      <c r="R138" s="9"/>
      <c r="S138" s="9"/>
      <c r="T138" s="9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2"/>
    </row>
    <row r="139" spans="3:39" x14ac:dyDescent="0.25">
      <c r="C139" s="2">
        <f>IF(OR(F139="",H139=""),"",IF(F139=H139,1,IF(F139&lt;H139,0,IF(F139-H139&lt;10,2,IF(F139&gt;H139,3,SE)))))</f>
        <v>3</v>
      </c>
      <c r="D139" s="155" t="str">
        <f>V119</f>
        <v xml:space="preserve">Engenheirense </v>
      </c>
      <c r="E139" s="155"/>
      <c r="F139" s="57">
        <v>22</v>
      </c>
      <c r="G139" s="58" t="s">
        <v>22</v>
      </c>
      <c r="H139" s="55">
        <v>0</v>
      </c>
      <c r="I139" s="155" t="str">
        <f>V118</f>
        <v>Football legends Fc</v>
      </c>
      <c r="J139" s="155"/>
      <c r="K139" s="155"/>
      <c r="L139" s="155"/>
      <c r="M139" s="155"/>
      <c r="N139" s="155"/>
      <c r="O139" s="155"/>
      <c r="P139" s="155"/>
      <c r="Q139" s="2">
        <f>IF(OR(H139="",F139=""),"",IF(H139=F139,1,IF(H139&lt;F139,0,IF(H139-F139&lt;10,2,IF(H139&gt;F139,3,SE)))))</f>
        <v>0</v>
      </c>
      <c r="R139" s="9"/>
      <c r="S139" s="9"/>
      <c r="T139" s="9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2"/>
    </row>
    <row r="140" spans="3:39" ht="15.75" thickBot="1" x14ac:dyDescent="0.3">
      <c r="C140" s="2" t="str">
        <f>IF(OR(F140="",H140=""),"",IF(F140=H140,1,IF(F140&lt;H140,0,IF(F140-H140&lt;10,2,IF(F140&gt;H140,3,SE)))))</f>
        <v/>
      </c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2" t="str">
        <f>IF(OR(H140="",F140=""),"",IF(H140=F140,1,IF(H140&lt;F140,0,IF(H140-F140&lt;10,2,IF(H140&gt;F140,3,SE)))))</f>
        <v/>
      </c>
      <c r="R140" s="9"/>
      <c r="S140" s="9"/>
      <c r="T140" s="9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2"/>
    </row>
    <row r="141" spans="3:39" x14ac:dyDescent="0.25">
      <c r="C141" s="2" t="str">
        <f>IF(OR(F141="",H141=""),"",IF(F141=H141,1,IF(F141&lt;H141,0,IF(F141-H141&lt;10,2,IF(F141&gt;H141,3,SE)))))</f>
        <v/>
      </c>
      <c r="D141" s="142" t="s">
        <v>26</v>
      </c>
      <c r="E141" s="143"/>
      <c r="F141" s="143"/>
      <c r="G141" s="143"/>
      <c r="H141" s="143"/>
      <c r="I141" s="143"/>
      <c r="J141" s="143"/>
      <c r="K141" s="143"/>
      <c r="L141" s="143"/>
      <c r="M141" s="143"/>
      <c r="N141" s="143"/>
      <c r="O141" s="143"/>
      <c r="P141" s="144"/>
      <c r="Q141" s="2" t="str">
        <f>IF(OR(H141="",F141=""),"",IF(H141=F141,1,IF(H141&lt;F141,0,IF(H141-F141&lt;10,2,IF(H141&gt;F141,3,SE)))))</f>
        <v/>
      </c>
      <c r="R141" s="9"/>
      <c r="S141" s="9"/>
      <c r="T141" s="9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2"/>
    </row>
    <row r="142" spans="3:39" ht="15.75" thickBot="1" x14ac:dyDescent="0.3">
      <c r="C142" s="2" t="str">
        <f>IF(OR(F142="",H142=""),"",IF(F142=H142,1,IF(F142&lt;H142,0,IF(F142-H142&lt;10,2,IF(F142&gt;H142,3,SE)))))</f>
        <v/>
      </c>
      <c r="D142" s="145"/>
      <c r="E142" s="146"/>
      <c r="F142" s="146"/>
      <c r="G142" s="146"/>
      <c r="H142" s="146"/>
      <c r="I142" s="146"/>
      <c r="J142" s="146"/>
      <c r="K142" s="146"/>
      <c r="L142" s="146"/>
      <c r="M142" s="146"/>
      <c r="N142" s="146"/>
      <c r="O142" s="146"/>
      <c r="P142" s="147"/>
      <c r="Q142" s="2" t="str">
        <f>IF(OR(H142="",F142=""),"",IF(H142=F142,1,IF(H142&lt;F142,0,IF(H142-F142&lt;10,2,IF(H142&gt;F142,3,SE)))))</f>
        <v/>
      </c>
      <c r="R142" s="9"/>
      <c r="S142" s="9"/>
      <c r="T142" s="9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2"/>
    </row>
    <row r="143" spans="3:39" x14ac:dyDescent="0.25">
      <c r="C143" s="2" t="str">
        <f>IF(OR(F143="",H143=""),"",IF(F143=H143,1,IF(F143&lt;H143,0,IF(F143-H143&lt;10,2,IF(F143&gt;H143,3,SE)))))</f>
        <v/>
      </c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2" t="str">
        <f>IF(OR(H143="",F143=""),"",IF(H143=F143,1,IF(H143&lt;F143,0,IF(H143-F143&lt;10,2,IF(H143&gt;F143,3,SE)))))</f>
        <v/>
      </c>
      <c r="R143" s="9"/>
      <c r="S143" s="9"/>
      <c r="T143" s="9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2"/>
    </row>
    <row r="144" spans="3:39" x14ac:dyDescent="0.25">
      <c r="C144" s="2">
        <f>IF(OR(F144="",H144=""),"",IF(F144=H144,1,IF(F144&lt;H144,0,IF(F144-H144&lt;10,2,IF(F144&gt;H144,3,SE)))))</f>
        <v>3</v>
      </c>
      <c r="D144" s="155" t="str">
        <f>V121</f>
        <v xml:space="preserve">Tribe of Gypsies </v>
      </c>
      <c r="E144" s="155"/>
      <c r="F144" s="57">
        <v>39</v>
      </c>
      <c r="G144" s="56" t="s">
        <v>22</v>
      </c>
      <c r="H144" s="55">
        <v>0</v>
      </c>
      <c r="I144" s="155" t="str">
        <f>V118</f>
        <v>Football legends Fc</v>
      </c>
      <c r="J144" s="155"/>
      <c r="K144" s="155"/>
      <c r="L144" s="155"/>
      <c r="M144" s="155"/>
      <c r="N144" s="155"/>
      <c r="O144" s="155"/>
      <c r="P144" s="155"/>
      <c r="Q144" s="2">
        <f>IF(OR(H144="",F144=""),"",IF(H144=F144,1,IF(H144&lt;F144,0,IF(H144-F144&lt;10,2,IF(H144&gt;F144,3,SE)))))</f>
        <v>0</v>
      </c>
      <c r="R144" s="9"/>
      <c r="S144" s="9"/>
      <c r="T144" s="9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2"/>
    </row>
    <row r="145" spans="3:37" x14ac:dyDescent="0.25">
      <c r="C145" s="2">
        <f>IF(OR(F145="",H145=""),"",IF(F145=H145,1,IF(F145&lt;H145,0,IF(F145-H145&lt;10,2,IF(F145&gt;H145,3,SE)))))</f>
        <v>0</v>
      </c>
      <c r="D145" s="155" t="str">
        <f>V120</f>
        <v>Lucca Mengão</v>
      </c>
      <c r="E145" s="155"/>
      <c r="F145" s="55">
        <v>34</v>
      </c>
      <c r="G145" s="56" t="s">
        <v>22</v>
      </c>
      <c r="H145" s="57">
        <v>49</v>
      </c>
      <c r="I145" s="155" t="str">
        <f>V119</f>
        <v xml:space="preserve">Engenheirense </v>
      </c>
      <c r="J145" s="155"/>
      <c r="K145" s="155"/>
      <c r="L145" s="155"/>
      <c r="M145" s="155"/>
      <c r="N145" s="155"/>
      <c r="O145" s="155"/>
      <c r="P145" s="155"/>
      <c r="Q145" s="2">
        <f>IF(OR(H145="",F145=""),"",IF(H145=F145,1,IF(H145&lt;F145,0,IF(H145-F145&lt;10,2,IF(H145&gt;F145,3,SE)))))</f>
        <v>3</v>
      </c>
      <c r="R145" s="9"/>
      <c r="S145" s="9"/>
      <c r="T145" s="9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2"/>
    </row>
    <row r="146" spans="3:37" ht="15.75" thickBot="1" x14ac:dyDescent="0.3">
      <c r="C146" s="2" t="str">
        <f>IF(OR(F146="",H146=""),"",IF(F146=H146,1,IF(F146&lt;H146,0,IF(F146-H146&lt;10,2,IF(F146&gt;H146,3,SE)))))</f>
        <v/>
      </c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2" t="str">
        <f>IF(OR(H146="",F146=""),"",IF(H146=F146,1,IF(H146&lt;F146,0,IF(H146-F146&lt;10,2,IF(H146&gt;F146,3,SE)))))</f>
        <v/>
      </c>
      <c r="R146" s="9"/>
      <c r="S146" s="9"/>
      <c r="T146" s="9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2"/>
    </row>
    <row r="147" spans="3:37" x14ac:dyDescent="0.25">
      <c r="C147" s="2" t="str">
        <f>IF(OR(F147="",H147=""),"",IF(F147=H147,1,IF(F147&lt;H147,0,IF(F147-H147&lt;10,2,IF(F147&gt;H147,3,SE)))))</f>
        <v/>
      </c>
      <c r="D147" s="142" t="s">
        <v>27</v>
      </c>
      <c r="E147" s="143"/>
      <c r="F147" s="143"/>
      <c r="G147" s="143"/>
      <c r="H147" s="143"/>
      <c r="I147" s="143"/>
      <c r="J147" s="143"/>
      <c r="K147" s="143"/>
      <c r="L147" s="143"/>
      <c r="M147" s="143"/>
      <c r="N147" s="143"/>
      <c r="O147" s="143"/>
      <c r="P147" s="144"/>
      <c r="Q147" s="2" t="str">
        <f>IF(OR(H147="",F147=""),"",IF(H147=F147,1,IF(H147&lt;F147,0,IF(H147-F147&lt;10,2,IF(H147&gt;F147,3,SE)))))</f>
        <v/>
      </c>
      <c r="R147" s="9"/>
      <c r="S147" s="9"/>
      <c r="T147" s="9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2"/>
    </row>
    <row r="148" spans="3:37" ht="15.75" thickBot="1" x14ac:dyDescent="0.3">
      <c r="C148" s="2" t="str">
        <f>IF(OR(F148="",H148=""),"",IF(F148=H148,1,IF(F148&lt;H148,0,IF(F148-H148&lt;10,2,IF(F148&gt;H148,3,SE)))))</f>
        <v/>
      </c>
      <c r="D148" s="145"/>
      <c r="E148" s="146"/>
      <c r="F148" s="146"/>
      <c r="G148" s="146"/>
      <c r="H148" s="146"/>
      <c r="I148" s="146"/>
      <c r="J148" s="146"/>
      <c r="K148" s="146"/>
      <c r="L148" s="146"/>
      <c r="M148" s="146"/>
      <c r="N148" s="146"/>
      <c r="O148" s="146"/>
      <c r="P148" s="147"/>
      <c r="Q148" s="2" t="str">
        <f>IF(OR(H148="",F148=""),"",IF(H148=F148,1,IF(H148&lt;F148,0,IF(H148-F148&lt;10,2,IF(H148&gt;F148,3,SE)))))</f>
        <v/>
      </c>
      <c r="R148" s="9"/>
      <c r="S148" s="9"/>
      <c r="T148" s="9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2"/>
    </row>
    <row r="149" spans="3:37" x14ac:dyDescent="0.25">
      <c r="C149" s="2" t="str">
        <f>IF(OR(F149="",H149=""),"",IF(F149=H149,1,IF(F149&lt;H149,0,IF(F149-H149&lt;10,2,IF(F149&gt;H149,3,SE)))))</f>
        <v/>
      </c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2" t="str">
        <f>IF(OR(H149="",F149=""),"",IF(H149=F149,1,IF(H149&lt;F149,0,IF(H149-F149&lt;10,2,IF(H149&gt;F149,3,SE)))))</f>
        <v/>
      </c>
      <c r="R149" s="9"/>
      <c r="S149" s="9"/>
      <c r="T149" s="9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2"/>
    </row>
    <row r="150" spans="3:37" x14ac:dyDescent="0.25">
      <c r="C150" s="2">
        <f>IF(OR(F150="",H150=""),"",IF(F150=H150,1,IF(F150&lt;H150,0,IF(F150-H150&lt;10,2,IF(F150&gt;H150,3,SE)))))</f>
        <v>0</v>
      </c>
      <c r="D150" s="155" t="str">
        <f>V121</f>
        <v xml:space="preserve">Tribe of Gypsies </v>
      </c>
      <c r="E150" s="155"/>
      <c r="F150" s="55">
        <v>48</v>
      </c>
      <c r="G150" s="58" t="s">
        <v>22</v>
      </c>
      <c r="H150" s="57">
        <v>79</v>
      </c>
      <c r="I150" s="155" t="str">
        <f>V119</f>
        <v xml:space="preserve">Engenheirense </v>
      </c>
      <c r="J150" s="155"/>
      <c r="K150" s="155"/>
      <c r="L150" s="155"/>
      <c r="M150" s="155"/>
      <c r="N150" s="155"/>
      <c r="O150" s="155"/>
      <c r="P150" s="155"/>
      <c r="Q150" s="2">
        <f>IF(OR(H150="",F150=""),"",IF(H150=F150,1,IF(H150&lt;F150,0,IF(H150-F150&lt;10,2,IF(H150&gt;F150,3,SE)))))</f>
        <v>3</v>
      </c>
      <c r="R150" s="9"/>
      <c r="S150" s="9"/>
      <c r="T150" s="9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2"/>
    </row>
    <row r="151" spans="3:37" x14ac:dyDescent="0.25">
      <c r="C151" s="2">
        <f>IF(OR(F151="",H151=""),"",IF(F151=H151,1,IF(F151&lt;H151,0,IF(F151-H151&lt;10,2,IF(F151&gt;H151,3,SE)))))</f>
        <v>3</v>
      </c>
      <c r="D151" s="155" t="str">
        <f>V120</f>
        <v>Lucca Mengão</v>
      </c>
      <c r="E151" s="155"/>
      <c r="F151" s="57">
        <v>76</v>
      </c>
      <c r="G151" s="58" t="s">
        <v>22</v>
      </c>
      <c r="H151" s="55">
        <v>0</v>
      </c>
      <c r="I151" s="155" t="str">
        <f>V118</f>
        <v>Football legends Fc</v>
      </c>
      <c r="J151" s="155"/>
      <c r="K151" s="155"/>
      <c r="L151" s="155"/>
      <c r="M151" s="155"/>
      <c r="N151" s="155"/>
      <c r="O151" s="155"/>
      <c r="P151" s="155"/>
      <c r="Q151" s="2">
        <f>IF(OR(H151="",F151=""),"",IF(H151=F151,1,IF(H151&lt;F151,0,IF(H151-F151&lt;10,2,IF(H151&gt;F151,3,SE)))))</f>
        <v>0</v>
      </c>
      <c r="R151" s="9"/>
      <c r="S151" s="9"/>
      <c r="T151" s="9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2"/>
    </row>
    <row r="152" spans="3:37" ht="15.75" thickBot="1" x14ac:dyDescent="0.3">
      <c r="C152" s="2" t="str">
        <f>IF(OR(F152="",H152=""),"",IF(F152=H152,1,IF(F152&lt;H152,0,IF(F152-H152&lt;10,2,IF(F152&gt;H152,3,SE)))))</f>
        <v/>
      </c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2" t="str">
        <f>IF(OR(H152="",F152=""),"",IF(H152=F152,1,IF(H152&lt;F152,0,IF(H152-F152&lt;10,2,IF(H152&gt;F152,3,SE)))))</f>
        <v/>
      </c>
      <c r="R152" s="9"/>
      <c r="S152" s="9"/>
      <c r="T152" s="9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2"/>
    </row>
    <row r="153" spans="3:37" x14ac:dyDescent="0.25">
      <c r="C153" s="2" t="str">
        <f>IF(OR(F153="",H153=""),"",IF(F153=H153,1,IF(F153&lt;H153,0,IF(F153-H153&lt;10,2,IF(F153&gt;H153,3,SE)))))</f>
        <v/>
      </c>
      <c r="D153" s="142" t="s">
        <v>28</v>
      </c>
      <c r="E153" s="143"/>
      <c r="F153" s="143"/>
      <c r="G153" s="143"/>
      <c r="H153" s="143"/>
      <c r="I153" s="143"/>
      <c r="J153" s="143"/>
      <c r="K153" s="143"/>
      <c r="L153" s="143"/>
      <c r="M153" s="143"/>
      <c r="N153" s="143"/>
      <c r="O153" s="143"/>
      <c r="P153" s="144"/>
      <c r="Q153" s="2" t="str">
        <f>IF(OR(H153="",F153=""),"",IF(H153=F153,1,IF(H153&lt;F153,0,IF(H153-F153&lt;10,2,IF(H153&gt;F153,3,SE)))))</f>
        <v/>
      </c>
      <c r="R153" s="9"/>
      <c r="S153" s="9"/>
      <c r="T153" s="9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2"/>
    </row>
    <row r="154" spans="3:37" ht="15.75" thickBot="1" x14ac:dyDescent="0.3">
      <c r="C154" s="2" t="str">
        <f>IF(OR(F154="",H154=""),"",IF(F154=H154,1,IF(F154&lt;H154,0,IF(F154-H154&lt;10,2,IF(F154&gt;H154,3,SE)))))</f>
        <v/>
      </c>
      <c r="D154" s="145"/>
      <c r="E154" s="146"/>
      <c r="F154" s="146"/>
      <c r="G154" s="146"/>
      <c r="H154" s="146"/>
      <c r="I154" s="146"/>
      <c r="J154" s="146"/>
      <c r="K154" s="146"/>
      <c r="L154" s="146"/>
      <c r="M154" s="146"/>
      <c r="N154" s="146"/>
      <c r="O154" s="146"/>
      <c r="P154" s="147"/>
      <c r="Q154" s="2" t="str">
        <f>IF(OR(H154="",F154=""),"",IF(H154=F154,1,IF(H154&lt;F154,0,IF(H154-F154&lt;10,2,IF(H154&gt;F154,3,SE)))))</f>
        <v/>
      </c>
      <c r="R154" s="9"/>
      <c r="S154" s="9"/>
      <c r="T154" s="9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2"/>
    </row>
    <row r="155" spans="3:37" x14ac:dyDescent="0.25">
      <c r="C155" s="2" t="str">
        <f>IF(OR(F155="",H155=""),"",IF(F155=H155,1,IF(F155&lt;H155,0,IF(F155-H155&lt;10,2,IF(F155&gt;H155,3,SE)))))</f>
        <v/>
      </c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2" t="str">
        <f>IF(OR(H155="",F155=""),"",IF(H155=F155,1,IF(H155&lt;F155,0,IF(H155-F155&lt;10,2,IF(H155&gt;F155,3,SE)))))</f>
        <v/>
      </c>
      <c r="R155" s="9"/>
      <c r="S155" s="9"/>
      <c r="T155" s="9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2"/>
    </row>
    <row r="156" spans="3:37" x14ac:dyDescent="0.25">
      <c r="C156" s="2">
        <f>IF(OR(F156="",H156=""),"",IF(F156=H156,1,IF(F156&lt;H156,0,IF(F156-H156&lt;10,2,IF(F156&gt;H156,3,SE)))))</f>
        <v>0</v>
      </c>
      <c r="D156" s="155" t="str">
        <f>V121</f>
        <v xml:space="preserve">Tribe of Gypsies </v>
      </c>
      <c r="E156" s="155"/>
      <c r="F156" s="55">
        <v>38</v>
      </c>
      <c r="G156" s="56" t="s">
        <v>22</v>
      </c>
      <c r="H156" s="57">
        <v>52</v>
      </c>
      <c r="I156" s="155" t="str">
        <f>V120</f>
        <v>Lucca Mengão</v>
      </c>
      <c r="J156" s="155"/>
      <c r="K156" s="155"/>
      <c r="L156" s="155"/>
      <c r="M156" s="155"/>
      <c r="N156" s="155"/>
      <c r="O156" s="155"/>
      <c r="P156" s="155"/>
      <c r="Q156" s="2">
        <f>IF(OR(H156="",F156=""),"",IF(H156=F156,1,IF(H156&lt;F156,0,IF(H156-F156&lt;10,2,IF(H156&gt;F156,3,SE)))))</f>
        <v>3</v>
      </c>
      <c r="R156" s="9"/>
      <c r="S156" s="9"/>
      <c r="T156" s="9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2"/>
    </row>
    <row r="157" spans="3:37" x14ac:dyDescent="0.25">
      <c r="C157" s="2">
        <f>IF(OR(F157="",H157=""),"",IF(F157=H157,1,IF(F157&lt;H157,0,IF(F157-H157&lt;10,2,IF(F157&gt;H157,3,SE)))))</f>
        <v>3</v>
      </c>
      <c r="D157" s="155" t="str">
        <f>V119</f>
        <v xml:space="preserve">Engenheirense </v>
      </c>
      <c r="E157" s="155"/>
      <c r="F157" s="57">
        <v>59</v>
      </c>
      <c r="G157" s="56" t="s">
        <v>22</v>
      </c>
      <c r="H157" s="55">
        <v>0</v>
      </c>
      <c r="I157" s="155" t="str">
        <f>V118</f>
        <v>Football legends Fc</v>
      </c>
      <c r="J157" s="155"/>
      <c r="K157" s="155"/>
      <c r="L157" s="155"/>
      <c r="M157" s="155"/>
      <c r="N157" s="155"/>
      <c r="O157" s="155"/>
      <c r="P157" s="155"/>
      <c r="Q157" s="2">
        <f>IF(OR(H157="",F157=""),"",IF(H157=F157,1,IF(H157&lt;F157,0,IF(H157-F157&lt;10,2,IF(H157&gt;F157,3,SE)))))</f>
        <v>0</v>
      </c>
      <c r="R157" s="9"/>
      <c r="S157" s="9"/>
      <c r="T157" s="9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2"/>
    </row>
    <row r="158" spans="3:37" x14ac:dyDescent="0.25">
      <c r="C158" s="2"/>
      <c r="D158" s="69"/>
      <c r="E158" s="69"/>
      <c r="F158" s="70"/>
      <c r="G158" s="71"/>
      <c r="H158" s="70"/>
      <c r="I158" s="69"/>
      <c r="J158" s="69"/>
      <c r="K158" s="69"/>
      <c r="L158" s="69"/>
      <c r="M158" s="69"/>
      <c r="N158" s="69"/>
      <c r="O158" s="69"/>
      <c r="P158" s="69"/>
      <c r="Q158" s="2"/>
      <c r="R158" s="9"/>
      <c r="S158" s="9"/>
      <c r="T158" s="9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2"/>
    </row>
    <row r="159" spans="3:37" x14ac:dyDescent="0.25">
      <c r="C159" s="2"/>
      <c r="D159" s="69"/>
      <c r="E159" s="69"/>
      <c r="F159" s="70"/>
      <c r="G159" s="71"/>
      <c r="H159" s="70"/>
      <c r="I159" s="69"/>
      <c r="J159" s="69"/>
      <c r="K159" s="69"/>
      <c r="L159" s="69"/>
      <c r="M159" s="69"/>
      <c r="N159" s="69"/>
      <c r="O159" s="69"/>
      <c r="P159" s="69"/>
      <c r="Q159" s="2"/>
      <c r="R159" s="9"/>
      <c r="S159" s="9"/>
      <c r="T159" s="9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2"/>
    </row>
    <row r="160" spans="3:37" x14ac:dyDescent="0.25">
      <c r="C160" s="2"/>
      <c r="D160" s="69"/>
      <c r="E160" s="69"/>
      <c r="F160" s="70"/>
      <c r="G160" s="71"/>
      <c r="H160" s="70"/>
      <c r="I160" s="69"/>
      <c r="J160" s="69"/>
      <c r="K160" s="69"/>
      <c r="L160" s="69"/>
      <c r="M160" s="69"/>
      <c r="N160" s="69"/>
      <c r="O160" s="69"/>
      <c r="P160" s="69"/>
      <c r="Q160" s="2"/>
      <c r="R160" s="9"/>
      <c r="S160" s="9"/>
      <c r="T160" s="9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2"/>
    </row>
    <row r="161" spans="3:38" x14ac:dyDescent="0.25">
      <c r="C161" s="2"/>
      <c r="D161" s="69"/>
      <c r="E161" s="69"/>
      <c r="F161" s="70"/>
      <c r="G161" s="71"/>
      <c r="H161" s="70"/>
      <c r="I161" s="69"/>
      <c r="J161" s="69"/>
      <c r="K161" s="69"/>
      <c r="L161" s="69"/>
      <c r="M161" s="69"/>
      <c r="N161" s="69"/>
      <c r="O161" s="69"/>
      <c r="P161" s="69"/>
      <c r="Q161" s="2"/>
      <c r="R161" s="9" t="s">
        <v>7</v>
      </c>
      <c r="S161" s="9"/>
      <c r="T161" s="9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  <c r="AI161" s="67"/>
      <c r="AJ161" s="67"/>
      <c r="AK161" s="66"/>
      <c r="AL161" s="66"/>
    </row>
    <row r="162" spans="3:38" x14ac:dyDescent="0.25">
      <c r="C162" s="2"/>
      <c r="D162" s="69"/>
      <c r="E162" s="69"/>
      <c r="F162" s="70"/>
      <c r="G162" s="71"/>
      <c r="H162" s="70"/>
      <c r="I162" s="69"/>
      <c r="J162" s="69"/>
      <c r="K162" s="69"/>
      <c r="L162" s="69"/>
      <c r="M162" s="69"/>
      <c r="N162" s="69"/>
      <c r="O162" s="69"/>
      <c r="P162" s="69"/>
      <c r="Q162" s="2"/>
      <c r="R162" s="9" t="s">
        <v>16</v>
      </c>
      <c r="S162" s="9"/>
      <c r="T162" s="9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  <c r="AI162" s="67"/>
      <c r="AJ162" s="67"/>
      <c r="AK162" s="66"/>
      <c r="AL162" s="66"/>
    </row>
    <row r="163" spans="3:38" x14ac:dyDescent="0.25">
      <c r="C163" s="2"/>
      <c r="D163" s="69"/>
      <c r="E163" s="69"/>
      <c r="F163" s="70"/>
      <c r="G163" s="71"/>
      <c r="H163" s="70"/>
      <c r="I163" s="69"/>
      <c r="J163" s="69"/>
      <c r="K163" s="69"/>
      <c r="L163" s="69"/>
      <c r="M163" s="69"/>
      <c r="N163" s="69"/>
      <c r="O163" s="69"/>
      <c r="P163" s="69"/>
      <c r="Q163" s="2"/>
      <c r="R163" s="9" t="s">
        <v>55</v>
      </c>
      <c r="S163" s="9"/>
      <c r="T163" s="9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67"/>
      <c r="AH163" s="67"/>
      <c r="AI163" s="67"/>
      <c r="AJ163" s="67"/>
      <c r="AK163" s="66"/>
      <c r="AL163" s="66"/>
    </row>
    <row r="164" spans="3:38" x14ac:dyDescent="0.25">
      <c r="C164" s="2"/>
      <c r="D164" s="69"/>
      <c r="E164" s="69"/>
      <c r="F164" s="70"/>
      <c r="G164" s="71"/>
      <c r="H164" s="70"/>
      <c r="I164" s="69"/>
      <c r="J164" s="69"/>
      <c r="K164" s="69"/>
      <c r="L164" s="69"/>
      <c r="M164" s="69"/>
      <c r="N164" s="69"/>
      <c r="O164" s="69"/>
      <c r="P164" s="69"/>
      <c r="Q164" s="2"/>
      <c r="R164" s="9" t="s">
        <v>56</v>
      </c>
      <c r="S164" s="9"/>
      <c r="T164" s="9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67"/>
      <c r="AH164" s="67"/>
      <c r="AI164" s="67"/>
      <c r="AJ164" s="67"/>
      <c r="AK164" s="66"/>
      <c r="AL164" s="66"/>
    </row>
    <row r="165" spans="3:38" ht="15.75" thickBot="1" x14ac:dyDescent="0.3">
      <c r="C165" s="2" t="str">
        <f>IF(OR(F165="",H165=""),"",IF(F165=H165,1,IF(F165&lt;H165,0,IF(F165-H165&lt;10,2,IF(F165&gt;H165,3,SE)))))</f>
        <v/>
      </c>
      <c r="Q165" s="2" t="str">
        <f>IF(OR(H165="",F165=""),"",IF(H165=F165,1,IF(H165&lt;F165,0,IF(H165-F165&lt;10,2,IF(H165&gt;F165,3,SE)))))</f>
        <v/>
      </c>
      <c r="R165" s="9" t="s">
        <v>57</v>
      </c>
      <c r="S165" s="9"/>
      <c r="T165" s="9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67"/>
      <c r="AH165" s="67"/>
      <c r="AI165" s="67"/>
      <c r="AJ165" s="67"/>
      <c r="AK165" s="66"/>
      <c r="AL165" s="66"/>
    </row>
    <row r="166" spans="3:38" ht="15" customHeight="1" x14ac:dyDescent="0.25">
      <c r="C166" s="2" t="str">
        <f>IF(OR(F166="",H166=""),"",IF(F166=H166,1,IF(F166&lt;H166,0,IF(F166-H166&lt;10,2,IF(F166&gt;H166,3,SE)))))</f>
        <v/>
      </c>
      <c r="D166" s="142" t="s">
        <v>31</v>
      </c>
      <c r="E166" s="143"/>
      <c r="F166" s="143"/>
      <c r="G166" s="143"/>
      <c r="H166" s="143"/>
      <c r="I166" s="143"/>
      <c r="J166" s="143"/>
      <c r="K166" s="143"/>
      <c r="L166" s="143"/>
      <c r="M166" s="143"/>
      <c r="N166" s="143"/>
      <c r="O166" s="144"/>
      <c r="Q166" s="2" t="str">
        <f>IF(OR(H166="",F166=""),"",IF(H166=F166,1,IF(H166&lt;F166,0,IF(H166-F166&lt;10,2,IF(H166&gt;F166,3,SE)))))</f>
        <v/>
      </c>
      <c r="R166" s="9" t="s">
        <v>58</v>
      </c>
      <c r="S166" s="9"/>
      <c r="T166" s="9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67"/>
      <c r="AH166" s="67"/>
      <c r="AI166" s="67"/>
      <c r="AJ166" s="67"/>
      <c r="AK166" s="66"/>
      <c r="AL166" s="66"/>
    </row>
    <row r="167" spans="3:38" ht="15.75" customHeight="1" thickBot="1" x14ac:dyDescent="0.3">
      <c r="C167" s="2" t="str">
        <f>IF(OR(F167="",H167=""),"",IF(F167=H167,1,IF(F167&lt;H167,0,IF(F167-H167&lt;10,2,IF(F167&gt;H167,3,SE)))))</f>
        <v/>
      </c>
      <c r="D167" s="145"/>
      <c r="E167" s="146"/>
      <c r="F167" s="146"/>
      <c r="G167" s="146"/>
      <c r="H167" s="146"/>
      <c r="I167" s="146"/>
      <c r="J167" s="146"/>
      <c r="K167" s="146"/>
      <c r="L167" s="146"/>
      <c r="M167" s="146"/>
      <c r="N167" s="146"/>
      <c r="O167" s="147"/>
      <c r="Q167" s="2" t="str">
        <f>IF(OR(H167="",F167=""),"",IF(H167=F167,1,IF(H167&lt;F167,0,IF(H167-F167&lt;10,2,IF(H167&gt;F167,3,SE)))))</f>
        <v/>
      </c>
      <c r="R167" s="9" t="s">
        <v>59</v>
      </c>
      <c r="S167" s="9"/>
      <c r="T167" s="2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66"/>
      <c r="AL167" s="66"/>
    </row>
    <row r="168" spans="3:38" ht="15.75" thickBot="1" x14ac:dyDescent="0.3">
      <c r="C168" s="2"/>
      <c r="D168" s="4" t="s">
        <v>2</v>
      </c>
      <c r="E168" s="5" t="s">
        <v>3</v>
      </c>
      <c r="F168" s="5" t="s">
        <v>48</v>
      </c>
      <c r="G168" s="5" t="s">
        <v>4</v>
      </c>
      <c r="H168" s="5" t="s">
        <v>49</v>
      </c>
      <c r="I168" s="5" t="s">
        <v>50</v>
      </c>
      <c r="J168" s="5" t="s">
        <v>51</v>
      </c>
      <c r="K168" s="5" t="s">
        <v>52</v>
      </c>
      <c r="L168" s="5" t="s">
        <v>54</v>
      </c>
      <c r="M168" s="5" t="s">
        <v>5</v>
      </c>
      <c r="N168" s="5" t="s">
        <v>6</v>
      </c>
      <c r="O168" s="21" t="s">
        <v>53</v>
      </c>
      <c r="Q168" s="2"/>
      <c r="R168" s="9" t="s">
        <v>60</v>
      </c>
      <c r="S168" s="9"/>
      <c r="T168" s="2"/>
      <c r="U168" s="6" t="s">
        <v>2</v>
      </c>
      <c r="V168" s="6" t="s">
        <v>8</v>
      </c>
      <c r="W168" s="6" t="s">
        <v>48</v>
      </c>
      <c r="X168" s="6" t="s">
        <v>4</v>
      </c>
      <c r="Y168" s="6" t="s">
        <v>49</v>
      </c>
      <c r="Z168" s="6" t="s">
        <v>50</v>
      </c>
      <c r="AA168" s="6" t="s">
        <v>51</v>
      </c>
      <c r="AB168" s="6" t="s">
        <v>52</v>
      </c>
      <c r="AC168" s="6" t="s">
        <v>9</v>
      </c>
      <c r="AD168" s="6" t="s">
        <v>10</v>
      </c>
      <c r="AE168" s="6" t="s">
        <v>11</v>
      </c>
      <c r="AF168" s="6" t="s">
        <v>53</v>
      </c>
      <c r="AG168" s="6" t="s">
        <v>12</v>
      </c>
      <c r="AH168" s="6" t="s">
        <v>13</v>
      </c>
      <c r="AI168" s="6" t="s">
        <v>14</v>
      </c>
      <c r="AJ168" s="3"/>
      <c r="AK168" s="66"/>
      <c r="AL168" s="66"/>
    </row>
    <row r="169" spans="3:38" x14ac:dyDescent="0.25">
      <c r="C169" s="2"/>
      <c r="D169" s="36" t="s">
        <v>15</v>
      </c>
      <c r="E169" s="22" t="str">
        <f>VLOOKUP(AI169,$U$169:$AH$172,2)</f>
        <v>.In$a.Nyos.Br</v>
      </c>
      <c r="F169" s="22">
        <f>VLOOKUP(AI169,$U$169:$AH$172,3)</f>
        <v>6</v>
      </c>
      <c r="G169" s="22">
        <f>VLOOKUP(AI169,$U$169:$AH$172,4)</f>
        <v>16</v>
      </c>
      <c r="H169" s="23">
        <f>VLOOKUP(AI169,$U$169:$AH$172,5)</f>
        <v>4</v>
      </c>
      <c r="I169" s="23">
        <f>VLOOKUP(AI169,$U$169:$AH$172,6)</f>
        <v>2</v>
      </c>
      <c r="J169" s="23">
        <f>VLOOKUP(AI169,$U$169:$AH$172,7)</f>
        <v>0</v>
      </c>
      <c r="K169" s="23">
        <f>VLOOKUP(AI169,$U$169:$AH$172,8)</f>
        <v>0</v>
      </c>
      <c r="L169" s="23">
        <f>VLOOKUP(AI169,$U$169:$AH$172,9)</f>
        <v>346</v>
      </c>
      <c r="M169" s="23">
        <f>VLOOKUP(AI169,$U$169:$AH$172,10)</f>
        <v>244</v>
      </c>
      <c r="N169" s="22">
        <f>VLOOKUP(AI169,$U$169:$AH$172,11)</f>
        <v>102</v>
      </c>
      <c r="O169" s="41">
        <f>VLOOKUP(AI169,$U$169:$AH$172,12)</f>
        <v>0.88888888888888884</v>
      </c>
      <c r="Q169" s="2"/>
      <c r="R169" s="9" t="s">
        <v>20</v>
      </c>
      <c r="S169" s="9"/>
      <c r="T169" s="2"/>
      <c r="U169" s="6">
        <v>1</v>
      </c>
      <c r="V169" s="3" t="s">
        <v>98</v>
      </c>
      <c r="W169" s="3">
        <f>COUNT($F$177,$F$183,$F$189,$F$195,$F$201,$F$207)</f>
        <v>6</v>
      </c>
      <c r="X169" s="3">
        <f>SUM(Q177,Q184,Q190,Q195,Q202,Q208)</f>
        <v>0</v>
      </c>
      <c r="Y169" s="3">
        <f>SUM(COUNTIFS($C$177:$C$208,3,$D$177:$D$208,V169),COUNTIFS($I$177:$I$208,V169,$Q$177:$Q$208,3))</f>
        <v>0</v>
      </c>
      <c r="Z169" s="3">
        <f>SUM(COUNTIFS($C$177:$C$208,2,$D$177:$D$208,V169),COUNTIFS($I$177:$I$208,V169,$Q$177:$Q$208,2))</f>
        <v>0</v>
      </c>
      <c r="AA169" s="3">
        <f>SUM(COUNTIFS($C$177:$C$208,1,$D$177:$D$208,V169),COUNTIFS($I$177:$I$208,V169,$Q$177:$Q$208,1))</f>
        <v>0</v>
      </c>
      <c r="AB169" s="3">
        <f>SUM(COUNTIFS($C$177:$C$208,0,$D$177:$D$208,V169),COUNTIFS($I$177:$I$208,V169,$Q$177:$Q$208,0))</f>
        <v>6</v>
      </c>
      <c r="AC169" s="7">
        <f>SUM(H195,H202,H208,H177,H184,H190)</f>
        <v>236</v>
      </c>
      <c r="AD169" s="7">
        <f>SUM(F177,F184,F190,F195,F202,F208)</f>
        <v>309</v>
      </c>
      <c r="AE169" s="7">
        <f>AC169-AD169</f>
        <v>-73</v>
      </c>
      <c r="AF169" s="7">
        <f>IF(OR($F$177="",$H$177=""),0,(X169/(W169*3)))</f>
        <v>0</v>
      </c>
      <c r="AG169" s="3">
        <f>(X169*10^15)+((AC169+5000)*10^6)+AE169*10+U169</f>
        <v>5235999271</v>
      </c>
      <c r="AH169" s="3">
        <f>LARGE($AG$169:$AG$172,U169)</f>
        <v>1.6000005346001024E+16</v>
      </c>
      <c r="AI169" s="8">
        <f>MATCH(AH169,$AG$169:$AG$172,0)</f>
        <v>3</v>
      </c>
      <c r="AJ169" s="3"/>
      <c r="AK169" s="66"/>
      <c r="AL169" s="66"/>
    </row>
    <row r="170" spans="3:38" ht="15.75" thickBot="1" x14ac:dyDescent="0.3">
      <c r="C170" s="2"/>
      <c r="D170" s="33" t="s">
        <v>17</v>
      </c>
      <c r="E170" s="24" t="str">
        <f t="shared" ref="E170:E172" si="55">VLOOKUP(AI170,$U$169:$AH$172,2)</f>
        <v xml:space="preserve">Botafogo Rocha </v>
      </c>
      <c r="F170" s="24">
        <f t="shared" ref="F170:F172" si="56">VLOOKUP(AI170,$U$169:$AH$172,3)</f>
        <v>6</v>
      </c>
      <c r="G170" s="24">
        <f t="shared" ref="G170:G172" si="57">VLOOKUP(AI170,$U$169:$AH$172,4)</f>
        <v>8</v>
      </c>
      <c r="H170" s="25">
        <f t="shared" ref="H170:H172" si="58">VLOOKUP(AI170,$U$169:$AH$172,5)</f>
        <v>2</v>
      </c>
      <c r="I170" s="25">
        <f t="shared" ref="I170:I172" si="59">VLOOKUP(AI170,$U$169:$AH$172,6)</f>
        <v>1</v>
      </c>
      <c r="J170" s="25">
        <f t="shared" ref="J170:J172" si="60">VLOOKUP(AI170,$U$169:$AH$172,7)</f>
        <v>0</v>
      </c>
      <c r="K170" s="25">
        <f t="shared" ref="K170:K172" si="61">VLOOKUP(AI170,$U$169:$AH$172,8)</f>
        <v>3</v>
      </c>
      <c r="L170" s="25">
        <f t="shared" ref="L170:L172" si="62">VLOOKUP(AI170,$U$169:$AH$172,9)</f>
        <v>322</v>
      </c>
      <c r="M170" s="25">
        <f t="shared" ref="M170:M172" si="63">VLOOKUP(AI170,$U$169:$AH$172,10)</f>
        <v>318</v>
      </c>
      <c r="N170" s="24">
        <f t="shared" ref="N170:N172" si="64">VLOOKUP(AI170,$U$169:$AH$172,11)</f>
        <v>4</v>
      </c>
      <c r="O170" s="42">
        <f t="shared" ref="O170:O172" si="65">VLOOKUP(AI170,$U$169:$AH$172,12)</f>
        <v>0.44444444444444442</v>
      </c>
      <c r="Q170" s="2"/>
      <c r="R170" s="9" t="s">
        <v>61</v>
      </c>
      <c r="S170" s="9"/>
      <c r="T170" s="2"/>
      <c r="U170" s="6">
        <v>2</v>
      </c>
      <c r="V170" s="3" t="s">
        <v>101</v>
      </c>
      <c r="W170" s="3">
        <f t="shared" ref="W170:W172" si="66">COUNT($F$177,$F$183,$F$189,$F$195,$F$201,$F$207)</f>
        <v>6</v>
      </c>
      <c r="X170" s="3">
        <f>SUM(Q178,Q183,C190,Q196,Q201,C208)</f>
        <v>6</v>
      </c>
      <c r="Y170" s="3">
        <f t="shared" ref="Y170:Y172" si="67">SUM(COUNTIFS($C$177:$C$208,3,$D$177:$D$208,V170),COUNTIFS($I$177:$I$208,V170,$Q$177:$Q$208,3))</f>
        <v>0</v>
      </c>
      <c r="Z170" s="3">
        <f t="shared" ref="Z170:Z172" si="68">SUM(COUNTIFS($C$177:$C$208,2,$D$177:$D$208,V170),COUNTIFS($I$177:$I$208,V170,$Q$177:$Q$208,2))</f>
        <v>3</v>
      </c>
      <c r="AA170" s="3">
        <f t="shared" ref="AA170:AA172" si="69">SUM(COUNTIFS($C$177:$C$208,1,$D$177:$D$208,V170),COUNTIFS($I$177:$I$208,V170,$Q$177:$Q$208,1))</f>
        <v>0</v>
      </c>
      <c r="AB170" s="3">
        <f t="shared" ref="AB170:AB172" si="70">SUM(COUNTIFS($C$177:$C$208,0,$D$177:$D$208,V170),COUNTIFS($I$177:$I$208,V170,$Q$177:$Q$208,0))</f>
        <v>3</v>
      </c>
      <c r="AC170" s="7">
        <f>SUM(H178,H183,F190,H196,H201,F208)</f>
        <v>287</v>
      </c>
      <c r="AD170" s="7">
        <f>SUM(H208,F201,F196,H190,F183,F178)</f>
        <v>320</v>
      </c>
      <c r="AE170" s="7">
        <f t="shared" ref="AE170:AE172" si="71">AC170-AD170</f>
        <v>-33</v>
      </c>
      <c r="AF170" s="7">
        <f>IF(OR($F$177="",$H$177=""),0,(X170/(W170*3)))</f>
        <v>0.33333333333333331</v>
      </c>
      <c r="AG170" s="3">
        <f t="shared" ref="AG170:AG172" si="72">(X170*10^15)+((AC170+5000)*10^6)+AE170*10+U170</f>
        <v>6000005286999672</v>
      </c>
      <c r="AH170" s="3">
        <f t="shared" ref="AH170:AH172" si="73">LARGE($AG$169:$AG$172,U170)</f>
        <v>8000005322000044</v>
      </c>
      <c r="AI170" s="8">
        <f>MATCH(AH170,$AG$169:$AG$172,0)</f>
        <v>4</v>
      </c>
      <c r="AJ170" s="3"/>
      <c r="AK170" s="66"/>
      <c r="AL170" s="66"/>
    </row>
    <row r="171" spans="3:38" ht="15.75" thickBot="1" x14ac:dyDescent="0.3">
      <c r="C171" s="2"/>
      <c r="D171" s="34" t="s">
        <v>18</v>
      </c>
      <c r="E171" s="26" t="str">
        <f t="shared" si="55"/>
        <v xml:space="preserve">F.C. Bugrao </v>
      </c>
      <c r="F171" s="26">
        <f t="shared" si="56"/>
        <v>6</v>
      </c>
      <c r="G171" s="26">
        <f t="shared" si="57"/>
        <v>6</v>
      </c>
      <c r="H171" s="27">
        <f t="shared" si="58"/>
        <v>0</v>
      </c>
      <c r="I171" s="27">
        <f t="shared" si="59"/>
        <v>3</v>
      </c>
      <c r="J171" s="27">
        <f t="shared" si="60"/>
        <v>0</v>
      </c>
      <c r="K171" s="27">
        <f t="shared" si="61"/>
        <v>3</v>
      </c>
      <c r="L171" s="27">
        <f t="shared" si="62"/>
        <v>287</v>
      </c>
      <c r="M171" s="27">
        <f t="shared" si="63"/>
        <v>320</v>
      </c>
      <c r="N171" s="26">
        <f t="shared" si="64"/>
        <v>-33</v>
      </c>
      <c r="O171" s="43">
        <f t="shared" si="65"/>
        <v>0.33333333333333331</v>
      </c>
      <c r="Q171" s="2"/>
      <c r="R171" s="53"/>
      <c r="S171" s="9" t="s">
        <v>86</v>
      </c>
      <c r="T171" s="2"/>
      <c r="U171" s="6">
        <v>3</v>
      </c>
      <c r="V171" s="3" t="s">
        <v>88</v>
      </c>
      <c r="W171" s="3">
        <f t="shared" si="66"/>
        <v>6</v>
      </c>
      <c r="X171" s="3">
        <f>SUM(C178,C184,Q189,C196,C202,Q207)</f>
        <v>16</v>
      </c>
      <c r="Y171" s="3">
        <f t="shared" si="67"/>
        <v>4</v>
      </c>
      <c r="Z171" s="3">
        <f t="shared" si="68"/>
        <v>2</v>
      </c>
      <c r="AA171" s="3">
        <f t="shared" si="69"/>
        <v>0</v>
      </c>
      <c r="AB171" s="3">
        <f t="shared" si="70"/>
        <v>0</v>
      </c>
      <c r="AC171" s="7">
        <f>SUM(H207,F202,F196,H189,F184,F178)</f>
        <v>346</v>
      </c>
      <c r="AD171" s="7">
        <f>SUM(H178,H184,F189,H196,H202,F207)</f>
        <v>244</v>
      </c>
      <c r="AE171" s="7">
        <f t="shared" si="71"/>
        <v>102</v>
      </c>
      <c r="AF171" s="7">
        <f>IF(OR($F$177="",$H$177=""),0,(X171/(W171*3)))</f>
        <v>0.88888888888888884</v>
      </c>
      <c r="AG171" s="3">
        <f t="shared" si="72"/>
        <v>1.6000005346001024E+16</v>
      </c>
      <c r="AH171" s="3">
        <f t="shared" si="73"/>
        <v>6000005286999672</v>
      </c>
      <c r="AI171" s="8">
        <f t="shared" ref="AI171:AI172" si="74">MATCH(AH171,$AG$169:$AG$172,0)</f>
        <v>2</v>
      </c>
      <c r="AJ171" s="3"/>
      <c r="AK171" s="66"/>
      <c r="AL171" s="66"/>
    </row>
    <row r="172" spans="3:38" ht="15.75" thickBot="1" x14ac:dyDescent="0.3">
      <c r="C172" s="2"/>
      <c r="D172" s="35" t="s">
        <v>19</v>
      </c>
      <c r="E172" s="28" t="str">
        <f t="shared" si="55"/>
        <v>Family Paz F.C.</v>
      </c>
      <c r="F172" s="28">
        <f t="shared" si="56"/>
        <v>6</v>
      </c>
      <c r="G172" s="28">
        <f t="shared" si="57"/>
        <v>0</v>
      </c>
      <c r="H172" s="29">
        <f t="shared" si="58"/>
        <v>0</v>
      </c>
      <c r="I172" s="29">
        <f t="shared" si="59"/>
        <v>0</v>
      </c>
      <c r="J172" s="29">
        <f t="shared" si="60"/>
        <v>0</v>
      </c>
      <c r="K172" s="29">
        <f t="shared" si="61"/>
        <v>6</v>
      </c>
      <c r="L172" s="29">
        <f t="shared" si="62"/>
        <v>236</v>
      </c>
      <c r="M172" s="29">
        <f t="shared" si="63"/>
        <v>309</v>
      </c>
      <c r="N172" s="28">
        <f t="shared" si="64"/>
        <v>-73</v>
      </c>
      <c r="O172" s="44">
        <f t="shared" si="65"/>
        <v>0</v>
      </c>
      <c r="Q172" s="2"/>
      <c r="R172" s="54"/>
      <c r="S172" s="9" t="s">
        <v>63</v>
      </c>
      <c r="T172" s="2"/>
      <c r="U172" s="6">
        <v>4</v>
      </c>
      <c r="V172" s="3" t="s">
        <v>94</v>
      </c>
      <c r="W172" s="3">
        <f t="shared" si="66"/>
        <v>6</v>
      </c>
      <c r="X172" s="3">
        <f>SUM(C177,C183,C189,C195,C201,C207)</f>
        <v>8</v>
      </c>
      <c r="Y172" s="3">
        <f t="shared" si="67"/>
        <v>2</v>
      </c>
      <c r="Z172" s="3">
        <f t="shared" si="68"/>
        <v>1</v>
      </c>
      <c r="AA172" s="3">
        <f t="shared" si="69"/>
        <v>0</v>
      </c>
      <c r="AB172" s="3">
        <f t="shared" si="70"/>
        <v>3</v>
      </c>
      <c r="AC172" s="7">
        <f>SUM(F177,F183,F189,F195,F201,F207,)</f>
        <v>322</v>
      </c>
      <c r="AD172" s="7">
        <f>SUM(H207,H201,H195,H189,H183,H177)</f>
        <v>318</v>
      </c>
      <c r="AE172" s="7">
        <f t="shared" si="71"/>
        <v>4</v>
      </c>
      <c r="AF172" s="7">
        <f>IF(OR($F$177="",$H$177=""),0,(X172/(W172*3)))</f>
        <v>0.44444444444444442</v>
      </c>
      <c r="AG172" s="3">
        <f t="shared" si="72"/>
        <v>8000005322000044</v>
      </c>
      <c r="AH172" s="3">
        <f t="shared" si="73"/>
        <v>5235999271</v>
      </c>
      <c r="AI172" s="8">
        <f t="shared" si="74"/>
        <v>1</v>
      </c>
      <c r="AJ172" s="3"/>
      <c r="AK172" s="66"/>
      <c r="AL172" s="66"/>
    </row>
    <row r="173" spans="3:38" ht="15.75" thickBot="1" x14ac:dyDescent="0.3">
      <c r="C173" s="2" t="str">
        <f>IF(OR(F173="",H173=""),"",IF(F173=H173,1,IF(F173&lt;H173,0,IF(F173-H173&lt;10,2,IF(F173&gt;H173,3,SE)))))</f>
        <v/>
      </c>
      <c r="Q173" s="2" t="str">
        <f>IF(OR(H173="",F173=""),"",IF(H173=F173,1,IF(H173&lt;F173,0,IF(H173-F173&lt;10,2,IF(H173&gt;F173,3,SE)))))</f>
        <v/>
      </c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66"/>
      <c r="AL173" s="66"/>
    </row>
    <row r="174" spans="3:38" x14ac:dyDescent="0.25">
      <c r="C174" s="2" t="str">
        <f>IF(OR(F174="",H174=""),"",IF(F174=H174,1,IF(F174&lt;H174,0,IF(F174-H174&lt;10,2,IF(F174&gt;H174,3,SE)))))</f>
        <v/>
      </c>
      <c r="D174" s="156" t="s">
        <v>21</v>
      </c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8"/>
      <c r="Q174" s="2" t="str">
        <f>IF(OR(H174="",F174=""),"",IF(H174=F174,1,IF(H174&lt;F174,0,IF(H174-F174&lt;10,2,IF(H174&gt;F174,3,SE)))))</f>
        <v/>
      </c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66"/>
      <c r="AL174" s="66"/>
    </row>
    <row r="175" spans="3:38" ht="15.75" thickBot="1" x14ac:dyDescent="0.3">
      <c r="C175" s="2" t="str">
        <f>IF(OR(F175="",H175=""),"",IF(F175=H175,1,IF(F175&lt;H175,0,IF(F175-H175&lt;10,2,IF(F175&gt;H175,3,SE)))))</f>
        <v/>
      </c>
      <c r="D175" s="159"/>
      <c r="E175" s="160"/>
      <c r="F175" s="160"/>
      <c r="G175" s="160"/>
      <c r="H175" s="160"/>
      <c r="I175" s="160"/>
      <c r="J175" s="160"/>
      <c r="K175" s="160"/>
      <c r="L175" s="160"/>
      <c r="M175" s="160"/>
      <c r="N175" s="160"/>
      <c r="O175" s="160"/>
      <c r="P175" s="161"/>
      <c r="Q175" s="2" t="str">
        <f>IF(OR(H175="",F175=""),"",IF(H175=F175,1,IF(H175&lt;F175,0,IF(H175-F175&lt;10,2,IF(H175&gt;F175,3,SE)))))</f>
        <v/>
      </c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66"/>
      <c r="AL175" s="66"/>
    </row>
    <row r="176" spans="3:38" x14ac:dyDescent="0.25">
      <c r="C176" s="2" t="str">
        <f>IF(OR(F176="",H176=""),"",IF(F176=H176,1,IF(F176&lt;H176,0,IF(F176-H176&lt;10,2,IF(F176&gt;H176,3,SE)))))</f>
        <v/>
      </c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2" t="str">
        <f>IF(OR(H176="",F176=""),"",IF(H176=F176,1,IF(H176&lt;F176,0,IF(H176-F176&lt;10,2,IF(H176&gt;F176,3,SE)))))</f>
        <v/>
      </c>
      <c r="T176" s="2"/>
      <c r="U176" s="2"/>
      <c r="V176" s="3"/>
      <c r="W176" s="3"/>
      <c r="X176" s="6"/>
      <c r="Y176" s="6"/>
      <c r="Z176" s="6"/>
      <c r="AA176" s="6"/>
      <c r="AB176" s="2"/>
      <c r="AC176" s="2"/>
      <c r="AD176" s="2"/>
      <c r="AE176" s="2"/>
      <c r="AF176" s="2"/>
      <c r="AG176" s="2"/>
      <c r="AH176" s="2"/>
      <c r="AI176" s="2"/>
      <c r="AJ176" s="2"/>
      <c r="AK176" s="66"/>
      <c r="AL176" s="66"/>
    </row>
    <row r="177" spans="3:38" x14ac:dyDescent="0.25">
      <c r="C177" s="2">
        <f>IF(OR(F177="",H177=""),"",IF(F177=H177,1,IF(F177&lt;H177,0,IF(F177-H177&lt;10,2,IF(F177&gt;H177,3,SE)))))</f>
        <v>2</v>
      </c>
      <c r="D177" s="155" t="str">
        <f>V172</f>
        <v xml:space="preserve">Botafogo Rocha </v>
      </c>
      <c r="E177" s="155"/>
      <c r="F177" s="57">
        <v>33</v>
      </c>
      <c r="G177" s="56" t="s">
        <v>22</v>
      </c>
      <c r="H177" s="55">
        <v>25</v>
      </c>
      <c r="I177" s="155" t="str">
        <f>V169</f>
        <v>Family Paz F.C.</v>
      </c>
      <c r="J177" s="155"/>
      <c r="K177" s="155"/>
      <c r="L177" s="155"/>
      <c r="M177" s="155"/>
      <c r="N177" s="155"/>
      <c r="O177" s="155"/>
      <c r="P177" s="155"/>
      <c r="Q177" s="2">
        <f>IF(OR(H177="",F177=""),"",IF(H177=F177,1,IF(H177&lt;F177,0,IF(H177-F177&lt;10,2,IF(H177&gt;F177,3,SE)))))</f>
        <v>0</v>
      </c>
      <c r="T177" s="2"/>
      <c r="U177" s="2"/>
      <c r="V177" s="3"/>
      <c r="W177" s="3"/>
      <c r="X177" s="6"/>
      <c r="Y177" s="6"/>
      <c r="Z177" s="6"/>
      <c r="AA177" s="6"/>
      <c r="AB177" s="2"/>
      <c r="AC177" s="2"/>
      <c r="AD177" s="2"/>
      <c r="AE177" s="2"/>
      <c r="AF177" s="2"/>
      <c r="AG177" s="2"/>
      <c r="AH177" s="2"/>
      <c r="AI177" s="2"/>
      <c r="AJ177" s="2"/>
      <c r="AK177" s="66"/>
      <c r="AL177" s="66"/>
    </row>
    <row r="178" spans="3:38" x14ac:dyDescent="0.25">
      <c r="C178" s="2">
        <f>IF(OR(F178="",H178=""),"",IF(F178=H178,1,IF(F178&lt;H178,0,IF(F178-H178&lt;10,2,IF(F178&gt;H178,3,SE)))))</f>
        <v>2</v>
      </c>
      <c r="D178" s="155" t="str">
        <f>V171</f>
        <v>.In$a.Nyos.Br</v>
      </c>
      <c r="E178" s="155"/>
      <c r="F178" s="57">
        <v>30</v>
      </c>
      <c r="G178" s="56" t="s">
        <v>22</v>
      </c>
      <c r="H178" s="55">
        <v>21</v>
      </c>
      <c r="I178" s="155" t="str">
        <f>V170</f>
        <v xml:space="preserve">F.C. Bugrao </v>
      </c>
      <c r="J178" s="155"/>
      <c r="K178" s="155"/>
      <c r="L178" s="155"/>
      <c r="M178" s="155"/>
      <c r="N178" s="155"/>
      <c r="O178" s="155"/>
      <c r="P178" s="155"/>
      <c r="Q178" s="2">
        <f>IF(OR(H178="",F178=""),"",IF(H178=F178,1,IF(H178&lt;F178,0,IF(H178-F178&lt;10,2,IF(H178&gt;F178,3,SE)))))</f>
        <v>0</v>
      </c>
      <c r="R178" s="2"/>
      <c r="S178" s="2"/>
      <c r="T178" s="2"/>
      <c r="U178" s="66"/>
      <c r="V178" s="67"/>
      <c r="W178" s="67"/>
      <c r="X178" s="68"/>
      <c r="Y178" s="68"/>
      <c r="Z178" s="68"/>
      <c r="AA178" s="68"/>
      <c r="AB178" s="66"/>
      <c r="AC178" s="66"/>
      <c r="AD178" s="66"/>
      <c r="AE178" s="66"/>
      <c r="AF178" s="66"/>
      <c r="AG178" s="66"/>
      <c r="AH178" s="66"/>
      <c r="AI178" s="66"/>
      <c r="AJ178" s="66"/>
      <c r="AK178" s="66"/>
      <c r="AL178" s="66"/>
    </row>
    <row r="179" spans="3:38" ht="15.75" thickBot="1" x14ac:dyDescent="0.3">
      <c r="C179" s="2" t="str">
        <f>IF(OR(F179="",H179=""),"",IF(F179=H179,1,IF(F179&lt;H179,0,IF(F179-H179&lt;10,2,IF(F179&gt;H179,3,SE)))))</f>
        <v/>
      </c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2" t="str">
        <f>IF(OR(H179="",F179=""),"",IF(H179=F179,1,IF(H179&lt;F179,0,IF(H179-F179&lt;10,2,IF(H179&gt;F179,3,SE)))))</f>
        <v/>
      </c>
      <c r="R179" s="2"/>
      <c r="S179" s="2"/>
      <c r="T179" s="2"/>
      <c r="U179" s="66"/>
      <c r="V179" s="67"/>
      <c r="W179" s="67"/>
      <c r="X179" s="68"/>
      <c r="Y179" s="68"/>
      <c r="Z179" s="68"/>
      <c r="AA179" s="68"/>
      <c r="AB179" s="66"/>
      <c r="AC179" s="66"/>
      <c r="AD179" s="66"/>
      <c r="AE179" s="66"/>
      <c r="AF179" s="66"/>
      <c r="AG179" s="66"/>
      <c r="AH179" s="66"/>
      <c r="AI179" s="66"/>
      <c r="AJ179" s="66"/>
      <c r="AK179" s="66"/>
      <c r="AL179" s="66"/>
    </row>
    <row r="180" spans="3:38" x14ac:dyDescent="0.25">
      <c r="C180" s="2" t="str">
        <f>IF(OR(F180="",H180=""),"",IF(F180=H180,1,IF(F180&lt;H180,0,IF(F180-H180&lt;10,2,IF(F180&gt;H180,3,SE)))))</f>
        <v/>
      </c>
      <c r="D180" s="142" t="s">
        <v>24</v>
      </c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  <c r="O180" s="143"/>
      <c r="P180" s="144"/>
      <c r="Q180" s="2" t="str">
        <f>IF(OR(H180="",F180=""),"",IF(H180=F180,1,IF(H180&lt;F180,0,IF(H180-F180&lt;10,2,IF(H180&gt;F180,3,SE)))))</f>
        <v/>
      </c>
      <c r="R180" s="2"/>
      <c r="S180" s="2"/>
      <c r="T180" s="2"/>
      <c r="U180" s="66"/>
      <c r="V180" s="67"/>
      <c r="W180" s="67"/>
      <c r="X180" s="68"/>
      <c r="Y180" s="68"/>
      <c r="Z180" s="68"/>
      <c r="AA180" s="68"/>
      <c r="AB180" s="126"/>
      <c r="AC180" s="66"/>
      <c r="AD180" s="66"/>
      <c r="AE180" s="66"/>
      <c r="AF180" s="66"/>
      <c r="AG180" s="66"/>
      <c r="AH180" s="66"/>
      <c r="AI180" s="66"/>
      <c r="AJ180" s="66"/>
      <c r="AK180" s="66"/>
      <c r="AL180" s="66"/>
    </row>
    <row r="181" spans="3:38" ht="15.75" thickBot="1" x14ac:dyDescent="0.3">
      <c r="C181" s="2" t="str">
        <f>IF(OR(F181="",H181=""),"",IF(F181=H181,1,IF(F181&lt;H181,0,IF(F181-H181&lt;10,2,IF(F181&gt;H181,3,SE)))))</f>
        <v/>
      </c>
      <c r="D181" s="145"/>
      <c r="E181" s="146"/>
      <c r="F181" s="146"/>
      <c r="G181" s="146"/>
      <c r="H181" s="146"/>
      <c r="I181" s="146"/>
      <c r="J181" s="146"/>
      <c r="K181" s="146"/>
      <c r="L181" s="146"/>
      <c r="M181" s="146"/>
      <c r="N181" s="146"/>
      <c r="O181" s="146"/>
      <c r="P181" s="147"/>
      <c r="Q181" s="2" t="str">
        <f>IF(OR(H181="",F181=""),"",IF(H181=F181,1,IF(H181&lt;F181,0,IF(H181-F181&lt;10,2,IF(H181&gt;F181,3,SE)))))</f>
        <v/>
      </c>
      <c r="R181" s="2"/>
      <c r="S181" s="2"/>
      <c r="T181" s="2"/>
      <c r="U181" s="66"/>
      <c r="V181" s="67"/>
      <c r="W181" s="67"/>
      <c r="X181" s="67"/>
      <c r="Y181" s="125"/>
      <c r="Z181" s="125"/>
      <c r="AA181" s="125"/>
      <c r="AB181" s="126"/>
      <c r="AC181" s="66"/>
      <c r="AD181" s="66"/>
      <c r="AE181" s="66"/>
      <c r="AF181" s="66"/>
      <c r="AG181" s="66"/>
      <c r="AH181" s="66"/>
      <c r="AI181" s="66"/>
      <c r="AJ181" s="66"/>
      <c r="AK181" s="66"/>
      <c r="AL181" s="66"/>
    </row>
    <row r="182" spans="3:38" x14ac:dyDescent="0.25">
      <c r="C182" s="2" t="str">
        <f>IF(OR(F182="",H182=""),"",IF(F182=H182,1,IF(F182&lt;H182,0,IF(F182-H182&lt;10,2,IF(F182&gt;H182,3,SE)))))</f>
        <v/>
      </c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2" t="str">
        <f>IF(OR(H182="",F182=""),"",IF(H182=F182,1,IF(H182&lt;F182,0,IF(H182-F182&lt;10,2,IF(H182&gt;F182,3,SE)))))</f>
        <v/>
      </c>
      <c r="R182" s="2"/>
      <c r="S182" s="2"/>
      <c r="T182" s="2"/>
      <c r="U182" s="66"/>
      <c r="V182" s="67"/>
      <c r="W182" s="67"/>
      <c r="X182" s="67"/>
      <c r="Y182" s="125"/>
      <c r="Z182" s="125"/>
      <c r="AA182" s="125"/>
      <c r="AB182" s="126"/>
      <c r="AC182" s="66"/>
      <c r="AD182" s="66"/>
      <c r="AE182" s="66"/>
      <c r="AF182" s="66"/>
      <c r="AG182" s="66"/>
      <c r="AH182" s="66"/>
      <c r="AI182" s="66"/>
      <c r="AJ182" s="66"/>
      <c r="AK182" s="66"/>
      <c r="AL182" s="66"/>
    </row>
    <row r="183" spans="3:38" x14ac:dyDescent="0.25">
      <c r="C183" s="2">
        <f>IF(OR(F183="",H183=""),"",IF(F183=H183,1,IF(F183&lt;H183,0,IF(F183-H183&lt;10,2,IF(F183&gt;H183,3,SE)))))</f>
        <v>0</v>
      </c>
      <c r="D183" s="155" t="str">
        <f>V172</f>
        <v xml:space="preserve">Botafogo Rocha </v>
      </c>
      <c r="E183" s="155"/>
      <c r="F183" s="55">
        <v>61</v>
      </c>
      <c r="G183" s="58" t="s">
        <v>22</v>
      </c>
      <c r="H183" s="57">
        <v>70</v>
      </c>
      <c r="I183" s="155" t="str">
        <f>V170</f>
        <v xml:space="preserve">F.C. Bugrao </v>
      </c>
      <c r="J183" s="155"/>
      <c r="K183" s="155"/>
      <c r="L183" s="155"/>
      <c r="M183" s="155"/>
      <c r="N183" s="155"/>
      <c r="O183" s="155"/>
      <c r="P183" s="155"/>
      <c r="Q183" s="2">
        <f>IF(OR(H183="",F183=""),"",IF(H183=F183,1,IF(H183&lt;F183,0,IF(H183-F183&lt;10,2,IF(H183&gt;F183,3,SE)))))</f>
        <v>2</v>
      </c>
      <c r="R183" s="2"/>
      <c r="S183" s="2"/>
      <c r="T183" s="2"/>
      <c r="U183" s="2"/>
      <c r="V183" s="3"/>
      <c r="W183" s="3"/>
      <c r="X183" s="3"/>
      <c r="Y183" s="8"/>
      <c r="Z183" s="8"/>
      <c r="AA183" s="8"/>
      <c r="AB183" s="38"/>
      <c r="AC183" s="2"/>
      <c r="AD183" s="2"/>
      <c r="AE183" s="2"/>
      <c r="AF183" s="2"/>
      <c r="AG183" s="2"/>
      <c r="AH183" s="2"/>
      <c r="AI183" s="2"/>
      <c r="AJ183" s="2"/>
    </row>
    <row r="184" spans="3:38" x14ac:dyDescent="0.25">
      <c r="C184" s="2">
        <f>IF(OR(F184="",H184=""),"",IF(F184=H184,1,IF(F184&lt;H184,0,IF(F184-H184&lt;10,2,IF(F184&gt;H184,3,SE)))))</f>
        <v>3</v>
      </c>
      <c r="D184" s="155" t="str">
        <f>V171</f>
        <v>.In$a.Nyos.Br</v>
      </c>
      <c r="E184" s="155"/>
      <c r="F184" s="57">
        <v>66</v>
      </c>
      <c r="G184" s="58" t="s">
        <v>22</v>
      </c>
      <c r="H184" s="55">
        <v>52</v>
      </c>
      <c r="I184" s="155" t="str">
        <f>V169</f>
        <v>Family Paz F.C.</v>
      </c>
      <c r="J184" s="155"/>
      <c r="K184" s="155"/>
      <c r="L184" s="155"/>
      <c r="M184" s="155"/>
      <c r="N184" s="155"/>
      <c r="O184" s="155"/>
      <c r="P184" s="155"/>
      <c r="Q184" s="2">
        <f>IF(OR(H184="",F184=""),"",IF(H184=F184,1,IF(H184&lt;F184,0,IF(H184-F184&lt;10,2,IF(H184&gt;F184,3,SE)))))</f>
        <v>0</v>
      </c>
      <c r="R184" s="2"/>
      <c r="S184" s="2"/>
      <c r="T184" s="2"/>
      <c r="U184" s="2"/>
      <c r="V184" s="3"/>
      <c r="W184" s="3"/>
      <c r="X184" s="3"/>
      <c r="Y184" s="8"/>
      <c r="Z184" s="8"/>
      <c r="AA184" s="8"/>
      <c r="AB184" s="38"/>
      <c r="AC184" s="2"/>
      <c r="AD184" s="2"/>
      <c r="AE184" s="2"/>
      <c r="AF184" s="2"/>
      <c r="AG184" s="2"/>
      <c r="AH184" s="2"/>
      <c r="AI184" s="2"/>
      <c r="AJ184" s="2"/>
    </row>
    <row r="185" spans="3:38" ht="15.75" thickBot="1" x14ac:dyDescent="0.3">
      <c r="C185" s="2" t="str">
        <f>IF(OR(F185="",H185=""),"",IF(F185=H185,1,IF(F185&lt;H185,0,IF(F185-H185&lt;10,2,IF(F185&gt;H185,3,SE)))))</f>
        <v/>
      </c>
      <c r="D185" s="59"/>
      <c r="E185" s="59"/>
      <c r="F185" s="65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2" t="str">
        <f>IF(OR(H185="",F185=""),"",IF(H185=F185,1,IF(H185&lt;F185,0,IF(H185-F185&lt;10,2,IF(H185&gt;F185,3,SE)))))</f>
        <v/>
      </c>
      <c r="R185" s="2"/>
      <c r="S185" s="2"/>
      <c r="T185" s="2"/>
      <c r="U185" s="2"/>
      <c r="V185" s="3"/>
      <c r="W185" s="3"/>
      <c r="X185" s="3"/>
      <c r="Y185" s="8"/>
      <c r="Z185" s="8"/>
      <c r="AA185" s="8"/>
      <c r="AB185" s="38"/>
      <c r="AC185" s="2"/>
      <c r="AD185" s="2"/>
      <c r="AE185" s="2"/>
      <c r="AF185" s="2"/>
      <c r="AG185" s="2"/>
      <c r="AH185" s="2"/>
      <c r="AI185" s="2"/>
      <c r="AJ185" s="2"/>
    </row>
    <row r="186" spans="3:38" x14ac:dyDescent="0.25">
      <c r="C186" s="2" t="str">
        <f>IF(OR(F186="",H186=""),"",IF(F186=H186,1,IF(F186&lt;H186,0,IF(F186-H186&lt;10,2,IF(F186&gt;H186,3,SE)))))</f>
        <v/>
      </c>
      <c r="D186" s="142" t="s">
        <v>25</v>
      </c>
      <c r="E186" s="143"/>
      <c r="F186" s="143"/>
      <c r="G186" s="143"/>
      <c r="H186" s="143"/>
      <c r="I186" s="143"/>
      <c r="J186" s="143"/>
      <c r="K186" s="143"/>
      <c r="L186" s="143"/>
      <c r="M186" s="143"/>
      <c r="N186" s="143"/>
      <c r="O186" s="143"/>
      <c r="P186" s="144"/>
      <c r="Q186" s="2" t="str">
        <f>IF(OR(H186="",F186=""),"",IF(H186=F186,1,IF(H186&lt;F186,0,IF(H186-F186&lt;10,2,IF(H186&gt;F186,3,SE)))))</f>
        <v/>
      </c>
      <c r="R186" s="2"/>
      <c r="S186" s="2"/>
      <c r="T186" s="2"/>
      <c r="U186" s="2"/>
      <c r="V186" s="3"/>
      <c r="W186" s="3"/>
      <c r="X186" s="3"/>
      <c r="Y186" s="3"/>
      <c r="Z186" s="3"/>
      <c r="AA186" s="3"/>
      <c r="AB186" s="2"/>
      <c r="AC186" s="2"/>
      <c r="AD186" s="2"/>
      <c r="AE186" s="2"/>
      <c r="AF186" s="2"/>
      <c r="AG186" s="2"/>
      <c r="AH186" s="2"/>
      <c r="AI186" s="2"/>
      <c r="AJ186" s="2"/>
    </row>
    <row r="187" spans="3:38" ht="15.75" thickBot="1" x14ac:dyDescent="0.3">
      <c r="C187" s="2" t="str">
        <f>IF(OR(F187="",H187=""),"",IF(F187=H187,1,IF(F187&lt;H187,0,IF(F187-H187&lt;10,2,IF(F187&gt;H187,3,SE)))))</f>
        <v/>
      </c>
      <c r="D187" s="145"/>
      <c r="E187" s="146"/>
      <c r="F187" s="146"/>
      <c r="G187" s="146"/>
      <c r="H187" s="146"/>
      <c r="I187" s="146"/>
      <c r="J187" s="146"/>
      <c r="K187" s="146"/>
      <c r="L187" s="146"/>
      <c r="M187" s="146"/>
      <c r="N187" s="146"/>
      <c r="O187" s="146"/>
      <c r="P187" s="147"/>
      <c r="Q187" s="2" t="str">
        <f>IF(OR(H187="",F187=""),"",IF(H187=F187,1,IF(H187&lt;F187,0,IF(H187-F187&lt;10,2,IF(H187&gt;F187,3,SE)))))</f>
        <v/>
      </c>
      <c r="R187" s="2"/>
      <c r="S187" s="2"/>
      <c r="T187" s="2"/>
      <c r="U187" s="2"/>
      <c r="V187" s="3"/>
      <c r="W187" s="3"/>
      <c r="X187" s="3"/>
      <c r="Y187" s="3"/>
      <c r="Z187" s="3"/>
      <c r="AA187" s="3"/>
      <c r="AB187" s="2"/>
      <c r="AC187" s="2"/>
      <c r="AD187" s="2"/>
      <c r="AE187" s="2"/>
      <c r="AF187" s="2"/>
      <c r="AG187" s="2"/>
      <c r="AH187" s="2"/>
      <c r="AI187" s="2"/>
      <c r="AJ187" s="2"/>
    </row>
    <row r="188" spans="3:38" x14ac:dyDescent="0.25">
      <c r="C188" s="2" t="str">
        <f>IF(OR(F188="",H188=""),"",IF(F188=H188,1,IF(F188&lt;H188,0,IF(F188-H188&lt;10,2,IF(F188&gt;H188,3,SE)))))</f>
        <v/>
      </c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2" t="str">
        <f>IF(OR(H188="",F188=""),"",IF(H188=F188,1,IF(H188&lt;F188,0,IF(H188-F188&lt;10,2,IF(H188&gt;F188,3,SE)))))</f>
        <v/>
      </c>
      <c r="R188" s="2"/>
      <c r="S188" s="2"/>
      <c r="T188" s="2"/>
      <c r="U188" s="2"/>
      <c r="V188" s="3"/>
      <c r="W188" s="3"/>
      <c r="X188" s="3"/>
      <c r="Y188" s="3"/>
      <c r="Z188" s="3"/>
      <c r="AA188" s="3"/>
      <c r="AB188" s="2"/>
      <c r="AC188" s="2"/>
      <c r="AD188" s="2"/>
      <c r="AE188" s="2"/>
      <c r="AF188" s="2"/>
      <c r="AG188" s="2"/>
      <c r="AH188" s="2"/>
      <c r="AI188" s="2"/>
      <c r="AJ188" s="2"/>
    </row>
    <row r="189" spans="3:38" x14ac:dyDescent="0.25">
      <c r="C189" s="2">
        <f>IF(OR(F189="",H189=""),"",IF(F189=H189,1,IF(F189&lt;H189,0,IF(F189-H189&lt;10,2,IF(F189&gt;H189,3,SE)))))</f>
        <v>0</v>
      </c>
      <c r="D189" s="155" t="str">
        <f>V172</f>
        <v xml:space="preserve">Botafogo Rocha </v>
      </c>
      <c r="E189" s="155"/>
      <c r="F189" s="55">
        <v>28</v>
      </c>
      <c r="G189" s="56" t="s">
        <v>22</v>
      </c>
      <c r="H189" s="57">
        <v>42</v>
      </c>
      <c r="I189" s="155" t="str">
        <f>V171</f>
        <v>.In$a.Nyos.Br</v>
      </c>
      <c r="J189" s="155"/>
      <c r="K189" s="155"/>
      <c r="L189" s="155"/>
      <c r="M189" s="155"/>
      <c r="N189" s="155"/>
      <c r="O189" s="155"/>
      <c r="P189" s="155"/>
      <c r="Q189" s="2">
        <f>IF(OR(H189="",F189=""),"",IF(H189=F189,1,IF(H189&lt;F189,0,IF(H189-F189&lt;10,2,IF(H189&gt;F189,3,SE)))))</f>
        <v>3</v>
      </c>
      <c r="R189" s="2"/>
      <c r="S189" s="2"/>
      <c r="T189" s="2"/>
      <c r="U189" s="2"/>
      <c r="V189" s="3"/>
      <c r="W189" s="3"/>
      <c r="X189" s="3"/>
      <c r="Y189" s="3"/>
      <c r="Z189" s="3"/>
      <c r="AA189" s="3"/>
      <c r="AB189" s="2"/>
      <c r="AC189" s="2"/>
      <c r="AD189" s="2"/>
      <c r="AE189" s="2"/>
      <c r="AF189" s="2"/>
      <c r="AG189" s="2"/>
      <c r="AH189" s="2"/>
      <c r="AI189" s="2"/>
      <c r="AJ189" s="2"/>
    </row>
    <row r="190" spans="3:38" x14ac:dyDescent="0.25">
      <c r="C190" s="2">
        <f>IF(OR(F190="",H190=""),"",IF(F190=H190,1,IF(F190&lt;H190,0,IF(F190-H190&lt;10,2,IF(F190&gt;H190,3,SE)))))</f>
        <v>2</v>
      </c>
      <c r="D190" s="155" t="str">
        <f>V170</f>
        <v xml:space="preserve">F.C. Bugrao </v>
      </c>
      <c r="E190" s="155"/>
      <c r="F190" s="57">
        <v>18</v>
      </c>
      <c r="G190" s="56" t="s">
        <v>22</v>
      </c>
      <c r="H190" s="55">
        <v>10</v>
      </c>
      <c r="I190" s="155" t="str">
        <f>V169</f>
        <v>Family Paz F.C.</v>
      </c>
      <c r="J190" s="155"/>
      <c r="K190" s="155"/>
      <c r="L190" s="155"/>
      <c r="M190" s="155"/>
      <c r="N190" s="155"/>
      <c r="O190" s="155"/>
      <c r="P190" s="155"/>
      <c r="Q190" s="2">
        <f>IF(OR(H190="",F190=""),"",IF(H190=F190,1,IF(H190&lt;F190,0,IF(H190-F190&lt;10,2,IF(H190&gt;F190,3,SE)))))</f>
        <v>0</v>
      </c>
      <c r="R190" s="2"/>
      <c r="S190" s="2"/>
      <c r="T190" s="2"/>
      <c r="U190" s="2"/>
      <c r="V190" s="3"/>
      <c r="W190" s="3"/>
      <c r="X190" s="3"/>
      <c r="Y190" s="3"/>
      <c r="Z190" s="3"/>
      <c r="AA190" s="3"/>
      <c r="AB190" s="2"/>
      <c r="AC190" s="2"/>
      <c r="AD190" s="2"/>
      <c r="AE190" s="2"/>
      <c r="AF190" s="2"/>
      <c r="AG190" s="2"/>
      <c r="AH190" s="2"/>
      <c r="AI190" s="2"/>
      <c r="AJ190" s="2"/>
    </row>
    <row r="191" spans="3:38" ht="15.75" thickBot="1" x14ac:dyDescent="0.3">
      <c r="C191" s="2" t="str">
        <f>IF(OR(F191="",H191=""),"",IF(F191=H191,1,IF(F191&lt;H191,0,IF(F191-H191&lt;10,2,IF(F191&gt;H191,3,SE)))))</f>
        <v/>
      </c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2" t="str">
        <f>IF(OR(H191="",F191=""),"",IF(H191=F191,1,IF(H191&lt;F191,0,IF(H191-F191&lt;10,2,IF(H191&gt;F191,3,SE)))))</f>
        <v/>
      </c>
      <c r="R191" s="2"/>
      <c r="S191" s="2"/>
      <c r="T191" s="2"/>
      <c r="U191" s="2"/>
      <c r="V191" s="3"/>
      <c r="W191" s="3"/>
      <c r="X191" s="3"/>
      <c r="Y191" s="3"/>
      <c r="Z191" s="3"/>
      <c r="AA191" s="3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3:38" x14ac:dyDescent="0.25">
      <c r="C192" s="2" t="str">
        <f>IF(OR(F192="",H192=""),"",IF(F192=H192,1,IF(F192&lt;H192,0,IF(F192-H192&lt;10,2,IF(F192&gt;H192,3,SE)))))</f>
        <v/>
      </c>
      <c r="D192" s="142" t="s">
        <v>26</v>
      </c>
      <c r="E192" s="143"/>
      <c r="F192" s="143"/>
      <c r="G192" s="143"/>
      <c r="H192" s="143"/>
      <c r="I192" s="143"/>
      <c r="J192" s="143"/>
      <c r="K192" s="143"/>
      <c r="L192" s="143"/>
      <c r="M192" s="143"/>
      <c r="N192" s="143"/>
      <c r="O192" s="143"/>
      <c r="P192" s="144"/>
      <c r="Q192" s="2" t="str">
        <f>IF(OR(H192="",F192=""),"",IF(H192=F192,1,IF(H192&lt;F192,0,IF(H192-F192&lt;10,2,IF(H192&gt;F192,3,SE)))))</f>
        <v/>
      </c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3:36" ht="15.75" thickBot="1" x14ac:dyDescent="0.3">
      <c r="C193" s="2" t="str">
        <f>IF(OR(F193="",H193=""),"",IF(F193=H193,1,IF(F193&lt;H193,0,IF(F193-H193&lt;10,2,IF(F193&gt;H193,3,SE)))))</f>
        <v/>
      </c>
      <c r="D193" s="145"/>
      <c r="E193" s="146"/>
      <c r="F193" s="146"/>
      <c r="G193" s="146"/>
      <c r="H193" s="146"/>
      <c r="I193" s="146"/>
      <c r="J193" s="146"/>
      <c r="K193" s="146"/>
      <c r="L193" s="146"/>
      <c r="M193" s="146"/>
      <c r="N193" s="146"/>
      <c r="O193" s="146"/>
      <c r="P193" s="147"/>
      <c r="Q193" s="2" t="str">
        <f>IF(OR(H193="",F193=""),"",IF(H193=F193,1,IF(H193&lt;F193,0,IF(H193-F193&lt;10,2,IF(H193&gt;F193,3,SE)))))</f>
        <v/>
      </c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3:36" x14ac:dyDescent="0.25">
      <c r="C194" s="2" t="str">
        <f>IF(OR(F194="",H194=""),"",IF(F194=H194,1,IF(F194&lt;H194,0,IF(F194-H194&lt;10,2,IF(F194&gt;H194,3,SE)))))</f>
        <v/>
      </c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2" t="str">
        <f>IF(OR(H194="",F194=""),"",IF(H194=F194,1,IF(H194&lt;F194,0,IF(H194-F194&lt;10,2,IF(H194&gt;F194,3,SE)))))</f>
        <v/>
      </c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3:36" x14ac:dyDescent="0.25">
      <c r="C195" s="2">
        <f>IF(OR(F195="",H195=""),"",IF(F195=H195,1,IF(F195&lt;H195,0,IF(F195-H195&lt;10,2,IF(F195&gt;H195,3,SE)))))</f>
        <v>3</v>
      </c>
      <c r="D195" s="155" t="str">
        <f>V172</f>
        <v xml:space="preserve">Botafogo Rocha </v>
      </c>
      <c r="E195" s="155"/>
      <c r="F195" s="57">
        <v>39</v>
      </c>
      <c r="G195" s="58" t="s">
        <v>22</v>
      </c>
      <c r="H195" s="55">
        <v>22</v>
      </c>
      <c r="I195" s="155" t="str">
        <f>V169</f>
        <v>Family Paz F.C.</v>
      </c>
      <c r="J195" s="155"/>
      <c r="K195" s="155"/>
      <c r="L195" s="155"/>
      <c r="M195" s="155"/>
      <c r="N195" s="155"/>
      <c r="O195" s="155"/>
      <c r="P195" s="155"/>
      <c r="Q195" s="2">
        <f>IF(OR(H195="",F195=""),"",IF(H195=F195,1,IF(H195&lt;F195,0,IF(H195-F195&lt;10,2,IF(H195&gt;F195,3,SE)))))</f>
        <v>0</v>
      </c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3:36" x14ac:dyDescent="0.25">
      <c r="C196" s="2">
        <f>IF(OR(F196="",H196=""),"",IF(F196=H196,1,IF(F196&lt;H196,0,IF(F196-H196&lt;10,2,IF(F196&gt;H196,3,SE)))))</f>
        <v>2</v>
      </c>
      <c r="D196" s="155" t="str">
        <f>V171</f>
        <v>.In$a.Nyos.Br</v>
      </c>
      <c r="E196" s="155"/>
      <c r="F196" s="57">
        <v>41</v>
      </c>
      <c r="G196" s="58" t="s">
        <v>22</v>
      </c>
      <c r="H196" s="55">
        <v>33</v>
      </c>
      <c r="I196" s="155" t="str">
        <f>V170</f>
        <v xml:space="preserve">F.C. Bugrao </v>
      </c>
      <c r="J196" s="155"/>
      <c r="K196" s="155"/>
      <c r="L196" s="155"/>
      <c r="M196" s="155"/>
      <c r="N196" s="155"/>
      <c r="O196" s="155"/>
      <c r="P196" s="155"/>
      <c r="Q196" s="2">
        <f>IF(OR(H196="",F196=""),"",IF(H196=F196,1,IF(H196&lt;F196,0,IF(H196-F196&lt;10,2,IF(H196&gt;F196,3,SE)))))</f>
        <v>0</v>
      </c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3:36" ht="15.75" thickBot="1" x14ac:dyDescent="0.3">
      <c r="C197" s="2" t="str">
        <f>IF(OR(F197="",H197=""),"",IF(F197=H197,1,IF(F197&lt;H197,0,IF(F197-H197&lt;10,2,IF(F197&gt;H197,3,SE)))))</f>
        <v/>
      </c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2" t="str">
        <f>IF(OR(H197="",F197=""),"",IF(H197=F197,1,IF(H197&lt;F197,0,IF(H197-F197&lt;10,2,IF(H197&gt;F197,3,SE)))))</f>
        <v/>
      </c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3:36" x14ac:dyDescent="0.25">
      <c r="C198" s="2" t="str">
        <f>IF(OR(F198="",H198=""),"",IF(F198=H198,1,IF(F198&lt;H198,0,IF(F198-H198&lt;10,2,IF(F198&gt;H198,3,SE)))))</f>
        <v/>
      </c>
      <c r="D198" s="142" t="s">
        <v>27</v>
      </c>
      <c r="E198" s="143"/>
      <c r="F198" s="143"/>
      <c r="G198" s="143"/>
      <c r="H198" s="143"/>
      <c r="I198" s="143"/>
      <c r="J198" s="143"/>
      <c r="K198" s="143"/>
      <c r="L198" s="143"/>
      <c r="M198" s="143"/>
      <c r="N198" s="143"/>
      <c r="O198" s="143"/>
      <c r="P198" s="144"/>
      <c r="Q198" s="2" t="str">
        <f>IF(OR(H198="",F198=""),"",IF(H198=F198,1,IF(H198&lt;F198,0,IF(H198-F198&lt;10,2,IF(H198&gt;F198,3,SE)))))</f>
        <v/>
      </c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 spans="3:36" ht="15.75" thickBot="1" x14ac:dyDescent="0.3">
      <c r="C199" s="2" t="str">
        <f>IF(OR(F199="",H199=""),"",IF(F199=H199,1,IF(F199&lt;H199,0,IF(F199-H199&lt;10,2,IF(F199&gt;H199,3,SE)))))</f>
        <v/>
      </c>
      <c r="D199" s="145"/>
      <c r="E199" s="146"/>
      <c r="F199" s="146"/>
      <c r="G199" s="146"/>
      <c r="H199" s="146"/>
      <c r="I199" s="146"/>
      <c r="J199" s="146"/>
      <c r="K199" s="146"/>
      <c r="L199" s="146"/>
      <c r="M199" s="146"/>
      <c r="N199" s="146"/>
      <c r="O199" s="146"/>
      <c r="P199" s="147"/>
      <c r="Q199" s="2" t="str">
        <f>IF(OR(H199="",F199=""),"",IF(H199=F199,1,IF(H199&lt;F199,0,IF(H199-F199&lt;10,2,IF(H199&gt;F199,3,SE)))))</f>
        <v/>
      </c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 spans="3:36" x14ac:dyDescent="0.25">
      <c r="C200" s="2" t="str">
        <f>IF(OR(F200="",H200=""),"",IF(F200=H200,1,IF(F200&lt;H200,0,IF(F200-H200&lt;10,2,IF(F200&gt;H200,3,SE)))))</f>
        <v/>
      </c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2" t="str">
        <f>IF(OR(H200="",F200=""),"",IF(H200=F200,1,IF(H200&lt;F200,0,IF(H200-F200&lt;10,2,IF(H200&gt;F200,3,SE)))))</f>
        <v/>
      </c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 spans="3:36" x14ac:dyDescent="0.25">
      <c r="C201" s="2">
        <f>IF(OR(F201="",H201=""),"",IF(F201=H201,1,IF(F201&lt;H201,0,IF(F201-H201&lt;10,2,IF(F201&gt;H201,3,SE)))))</f>
        <v>3</v>
      </c>
      <c r="D201" s="155" t="str">
        <f>V172</f>
        <v xml:space="preserve">Botafogo Rocha </v>
      </c>
      <c r="E201" s="155"/>
      <c r="F201" s="57">
        <v>106</v>
      </c>
      <c r="G201" s="58" t="s">
        <v>22</v>
      </c>
      <c r="H201" s="55">
        <v>72</v>
      </c>
      <c r="I201" s="155" t="str">
        <f>V170</f>
        <v xml:space="preserve">F.C. Bugrao </v>
      </c>
      <c r="J201" s="155"/>
      <c r="K201" s="155"/>
      <c r="L201" s="155"/>
      <c r="M201" s="155"/>
      <c r="N201" s="155"/>
      <c r="O201" s="155"/>
      <c r="P201" s="155"/>
      <c r="Q201" s="2">
        <f>IF(OR(H201="",F201=""),"",IF(H201=F201,1,IF(H201&lt;F201,0,IF(H201-F201&lt;10,2,IF(H201&gt;F201,3,SE)))))</f>
        <v>0</v>
      </c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 spans="3:36" x14ac:dyDescent="0.25">
      <c r="C202" s="2">
        <f>IF(OR(F202="",H202=""),"",IF(F202=H202,1,IF(F202&lt;H202,0,IF(F202-H202&lt;10,2,IF(F202&gt;H202,3,SE)))))</f>
        <v>3</v>
      </c>
      <c r="D202" s="155" t="str">
        <f>V171</f>
        <v>.In$a.Nyos.Br</v>
      </c>
      <c r="E202" s="155"/>
      <c r="F202" s="57">
        <v>80</v>
      </c>
      <c r="G202" s="58" t="s">
        <v>22</v>
      </c>
      <c r="H202" s="55">
        <v>55</v>
      </c>
      <c r="I202" s="155" t="str">
        <f>V169</f>
        <v>Family Paz F.C.</v>
      </c>
      <c r="J202" s="155"/>
      <c r="K202" s="155"/>
      <c r="L202" s="155"/>
      <c r="M202" s="155"/>
      <c r="N202" s="155"/>
      <c r="O202" s="155"/>
      <c r="P202" s="155"/>
      <c r="Q202" s="2">
        <f>IF(OR(H202="",F202=""),"",IF(H202=F202,1,IF(H202&lt;F202,0,IF(H202-F202&lt;10,2,IF(H202&gt;F202,3,SE)))))</f>
        <v>0</v>
      </c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 spans="3:36" ht="15.75" thickBot="1" x14ac:dyDescent="0.3">
      <c r="C203" s="2" t="str">
        <f>IF(OR(F203="",H203=""),"",IF(F203=H203,1,IF(F203&lt;H203,0,IF(F203-H203&lt;10,2,IF(F203&gt;H203,3,SE)))))</f>
        <v/>
      </c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2" t="str">
        <f>IF(OR(H203="",F203=""),"",IF(H203=F203,1,IF(H203&lt;F203,0,IF(H203-F203&lt;10,2,IF(H203&gt;F203,3,SE)))))</f>
        <v/>
      </c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 spans="3:36" x14ac:dyDescent="0.25">
      <c r="C204" s="2" t="str">
        <f>IF(OR(F204="",H204=""),"",IF(F204=H204,1,IF(F204&lt;H204,0,IF(F204-H204&lt;10,2,IF(F204&gt;H204,3,SE)))))</f>
        <v/>
      </c>
      <c r="D204" s="142" t="s">
        <v>28</v>
      </c>
      <c r="E204" s="143"/>
      <c r="F204" s="143"/>
      <c r="G204" s="143"/>
      <c r="H204" s="143"/>
      <c r="I204" s="143"/>
      <c r="J204" s="143"/>
      <c r="K204" s="143"/>
      <c r="L204" s="143"/>
      <c r="M204" s="143"/>
      <c r="N204" s="143"/>
      <c r="O204" s="143"/>
      <c r="P204" s="144"/>
      <c r="Q204" s="2" t="str">
        <f>IF(OR(H204="",F204=""),"",IF(H204=F204,1,IF(H204&lt;F204,0,IF(H204-F204&lt;10,2,IF(H204&gt;F204,3,SE)))))</f>
        <v/>
      </c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 spans="3:36" ht="15.75" thickBot="1" x14ac:dyDescent="0.3">
      <c r="C205" s="2" t="str">
        <f>IF(OR(F205="",H205=""),"",IF(F205=H205,1,IF(F205&lt;H205,0,IF(F205-H205&lt;10,2,IF(F205&gt;H205,3,SE)))))</f>
        <v/>
      </c>
      <c r="D205" s="145"/>
      <c r="E205" s="146"/>
      <c r="F205" s="146"/>
      <c r="G205" s="146"/>
      <c r="H205" s="146"/>
      <c r="I205" s="146"/>
      <c r="J205" s="146"/>
      <c r="K205" s="146"/>
      <c r="L205" s="146"/>
      <c r="M205" s="146"/>
      <c r="N205" s="146"/>
      <c r="O205" s="146"/>
      <c r="P205" s="147"/>
      <c r="Q205" s="2" t="str">
        <f>IF(OR(H205="",F205=""),"",IF(H205=F205,1,IF(H205&lt;F205,0,IF(H205-F205&lt;10,2,IF(H205&gt;F205,3,SE)))))</f>
        <v/>
      </c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 spans="3:36" x14ac:dyDescent="0.25">
      <c r="C206" s="2" t="str">
        <f>IF(OR(F206="",H206=""),"",IF(F206=H206,1,IF(F206&lt;H206,0,IF(F206-H206&lt;10,2,IF(F206&gt;H206,3,SE)))))</f>
        <v/>
      </c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2" t="str">
        <f>IF(OR(H206="",F206=""),"",IF(H206=F206,1,IF(H206&lt;F206,0,IF(H206-F206&lt;10,2,IF(H206&gt;F206,3,SE)))))</f>
        <v/>
      </c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 spans="3:36" x14ac:dyDescent="0.25">
      <c r="C207" s="2">
        <f>IF(OR(F207="",H207=""),"",IF(F207=H207,1,IF(F207&lt;H207,0,IF(F207-H207&lt;10,2,IF(F207&gt;H207,3,SE)))))</f>
        <v>0</v>
      </c>
      <c r="D207" s="155" t="str">
        <f>V172</f>
        <v xml:space="preserve">Botafogo Rocha </v>
      </c>
      <c r="E207" s="155"/>
      <c r="F207" s="55">
        <v>55</v>
      </c>
      <c r="G207" s="56" t="s">
        <v>22</v>
      </c>
      <c r="H207" s="57">
        <v>87</v>
      </c>
      <c r="I207" s="155" t="str">
        <f>V171</f>
        <v>.In$a.Nyos.Br</v>
      </c>
      <c r="J207" s="155"/>
      <c r="K207" s="155"/>
      <c r="L207" s="155"/>
      <c r="M207" s="155"/>
      <c r="N207" s="155"/>
      <c r="O207" s="155"/>
      <c r="P207" s="155"/>
      <c r="Q207" s="2">
        <f>IF(OR(H207="",F207=""),"",IF(H207=F207,1,IF(H207&lt;F207,0,IF(H207-F207&lt;10,2,IF(H207&gt;F207,3,SE)))))</f>
        <v>3</v>
      </c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 spans="3:36" x14ac:dyDescent="0.25">
      <c r="C208" s="2">
        <f>IF(OR(F208="",H208=""),"",IF(F208=H208,1,IF(F208&lt;H208,0,IF(F208-H208&lt;10,2,IF(F208&gt;H208,3,SE)))))</f>
        <v>2</v>
      </c>
      <c r="D208" s="155" t="str">
        <f>V170</f>
        <v xml:space="preserve">F.C. Bugrao </v>
      </c>
      <c r="E208" s="155"/>
      <c r="F208" s="57">
        <v>73</v>
      </c>
      <c r="G208" s="56" t="s">
        <v>22</v>
      </c>
      <c r="H208" s="55">
        <v>72</v>
      </c>
      <c r="I208" s="155" t="str">
        <f>V169</f>
        <v>Family Paz F.C.</v>
      </c>
      <c r="J208" s="155"/>
      <c r="K208" s="155"/>
      <c r="L208" s="155"/>
      <c r="M208" s="155"/>
      <c r="N208" s="155"/>
      <c r="O208" s="155"/>
      <c r="P208" s="155"/>
      <c r="Q208" s="2">
        <f>IF(OR(H208="",F208=""),"",IF(H208=F208,1,IF(H208&lt;F208,0,IF(H208-F208&lt;10,2,IF(H208&gt;F208,3,SE)))))</f>
        <v>0</v>
      </c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 spans="3:39" ht="15.75" thickBot="1" x14ac:dyDescent="0.3"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3:39" x14ac:dyDescent="0.25">
      <c r="C210" s="2"/>
      <c r="D210" s="133" t="s">
        <v>62</v>
      </c>
      <c r="E210" s="134"/>
      <c r="F210" s="134"/>
      <c r="G210" s="134"/>
      <c r="H210" s="134"/>
      <c r="I210" s="134"/>
      <c r="J210" s="134"/>
      <c r="K210" s="134"/>
      <c r="L210" s="134"/>
      <c r="M210" s="134"/>
      <c r="N210" s="134"/>
      <c r="O210" s="134"/>
      <c r="P210" s="134"/>
      <c r="Q210" s="134"/>
      <c r="R210" s="134"/>
      <c r="S210" s="134"/>
      <c r="T210" s="134"/>
      <c r="U210" s="134"/>
      <c r="V210" s="134"/>
      <c r="W210" s="134"/>
      <c r="X210" s="134"/>
      <c r="Y210" s="134"/>
      <c r="Z210" s="134"/>
      <c r="AA210" s="134"/>
      <c r="AB210" s="134"/>
      <c r="AC210" s="134"/>
      <c r="AD210" s="135"/>
      <c r="AE210" s="2"/>
      <c r="AF210" s="2"/>
      <c r="AG210" s="2"/>
      <c r="AH210" s="2"/>
      <c r="AI210" s="2"/>
      <c r="AJ210" s="2"/>
      <c r="AK210" s="2"/>
      <c r="AL210" s="2"/>
      <c r="AM210" s="2"/>
    </row>
    <row r="211" spans="3:39" x14ac:dyDescent="0.25">
      <c r="C211" s="2"/>
      <c r="D211" s="136"/>
      <c r="E211" s="137"/>
      <c r="F211" s="137"/>
      <c r="G211" s="137"/>
      <c r="H211" s="137"/>
      <c r="I211" s="137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  <c r="W211" s="137"/>
      <c r="X211" s="137"/>
      <c r="Y211" s="137"/>
      <c r="Z211" s="137"/>
      <c r="AA211" s="137"/>
      <c r="AB211" s="137"/>
      <c r="AC211" s="137"/>
      <c r="AD211" s="138"/>
      <c r="AE211" s="2"/>
      <c r="AF211" s="2"/>
      <c r="AG211" s="2"/>
      <c r="AH211" s="2"/>
      <c r="AI211" s="2"/>
      <c r="AJ211" s="2"/>
      <c r="AK211" s="2"/>
      <c r="AL211" s="2"/>
      <c r="AM211" s="2"/>
    </row>
    <row r="212" spans="3:39" ht="15.75" thickBot="1" x14ac:dyDescent="0.3">
      <c r="C212" s="2"/>
      <c r="D212" s="139"/>
      <c r="E212" s="140"/>
      <c r="F212" s="140"/>
      <c r="G212" s="140"/>
      <c r="H212" s="140"/>
      <c r="I212" s="140"/>
      <c r="J212" s="140"/>
      <c r="K212" s="137"/>
      <c r="L212" s="137"/>
      <c r="M212" s="137"/>
      <c r="N212" s="137"/>
      <c r="O212" s="137"/>
      <c r="P212" s="137"/>
      <c r="Q212" s="137"/>
      <c r="R212" s="137"/>
      <c r="S212" s="140"/>
      <c r="T212" s="140"/>
      <c r="U212" s="140"/>
      <c r="V212" s="140"/>
      <c r="W212" s="140"/>
      <c r="X212" s="140"/>
      <c r="Y212" s="140"/>
      <c r="Z212" s="140"/>
      <c r="AA212" s="140"/>
      <c r="AB212" s="140"/>
      <c r="AC212" s="140"/>
      <c r="AD212" s="141"/>
      <c r="AE212" s="2"/>
      <c r="AF212" s="2"/>
      <c r="AG212" s="2"/>
      <c r="AH212" s="2"/>
      <c r="AI212" s="2"/>
      <c r="AJ212" s="2"/>
      <c r="AK212" s="2"/>
      <c r="AL212" s="2"/>
      <c r="AM212" s="2"/>
    </row>
    <row r="213" spans="3:39" ht="15.75" customHeight="1" x14ac:dyDescent="0.25">
      <c r="C213" s="2"/>
      <c r="D213" s="11"/>
      <c r="E213" s="12"/>
      <c r="F213" s="12"/>
      <c r="G213" s="12"/>
      <c r="H213" s="12"/>
      <c r="I213" s="12"/>
      <c r="J213" s="12"/>
      <c r="K213" s="162" t="s">
        <v>33</v>
      </c>
      <c r="L213" s="163"/>
      <c r="M213" s="163"/>
      <c r="N213" s="163"/>
      <c r="O213" s="163"/>
      <c r="P213" s="163"/>
      <c r="Q213" s="163"/>
      <c r="R213" s="164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3"/>
      <c r="AE213" s="2"/>
      <c r="AF213" s="2"/>
      <c r="AG213" s="2"/>
      <c r="AH213" s="2"/>
      <c r="AI213" s="2"/>
      <c r="AJ213" s="2"/>
      <c r="AK213" s="2"/>
      <c r="AL213" s="2"/>
      <c r="AM213" s="2"/>
    </row>
    <row r="214" spans="3:39" ht="19.5" customHeight="1" thickBot="1" x14ac:dyDescent="0.3">
      <c r="C214" s="2"/>
      <c r="D214" s="14"/>
      <c r="E214" s="15"/>
      <c r="F214" s="15"/>
      <c r="G214" s="15"/>
      <c r="H214" s="15"/>
      <c r="I214" s="15"/>
      <c r="J214" s="15"/>
      <c r="K214" s="165"/>
      <c r="L214" s="166"/>
      <c r="M214" s="166"/>
      <c r="N214" s="166"/>
      <c r="O214" s="166"/>
      <c r="P214" s="166"/>
      <c r="Q214" s="166"/>
      <c r="R214" s="167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6"/>
      <c r="AE214" s="2"/>
      <c r="AF214" s="2"/>
      <c r="AG214" s="2"/>
      <c r="AH214" s="2"/>
      <c r="AI214" s="2"/>
      <c r="AJ214" s="2"/>
      <c r="AK214" s="2"/>
      <c r="AL214" s="2"/>
      <c r="AM214" s="2"/>
    </row>
    <row r="215" spans="3:39" x14ac:dyDescent="0.25">
      <c r="C215" s="2"/>
      <c r="D215" s="168" t="s">
        <v>34</v>
      </c>
      <c r="E215" s="170" t="str">
        <f>IF(OR(F55="",H55=""),"3º GRUPO A",E18)</f>
        <v>FCB BARCELONA 15</v>
      </c>
      <c r="F215" s="171"/>
      <c r="G215" s="171"/>
      <c r="H215" s="171"/>
      <c r="I215" s="171"/>
      <c r="J215" s="171"/>
      <c r="K215" s="171"/>
      <c r="L215" s="172"/>
      <c r="M215" s="80">
        <v>96.63</v>
      </c>
      <c r="N215" s="73" t="s">
        <v>35</v>
      </c>
      <c r="O215" s="82">
        <v>67.900000000000006</v>
      </c>
      <c r="P215" s="170" t="str">
        <f>IF(OR(F208="",H208=""),"4º GRUPO D",E172)</f>
        <v>Family Paz F.C.</v>
      </c>
      <c r="Q215" s="171"/>
      <c r="R215" s="171"/>
      <c r="S215" s="171"/>
      <c r="T215" s="171"/>
      <c r="U215" s="171"/>
      <c r="V215" s="171"/>
      <c r="W215" s="171"/>
      <c r="X215" s="171"/>
      <c r="Y215" s="171"/>
      <c r="Z215" s="171"/>
      <c r="AA215" s="171"/>
      <c r="AB215" s="171"/>
      <c r="AC215" s="171"/>
      <c r="AD215" s="172"/>
      <c r="AE215" s="2"/>
      <c r="AF215" s="2"/>
      <c r="AG215" s="2"/>
      <c r="AH215" s="2"/>
      <c r="AI215" s="2"/>
      <c r="AJ215" s="2"/>
      <c r="AK215" s="2"/>
      <c r="AL215" s="2"/>
      <c r="AM215" s="2"/>
    </row>
    <row r="216" spans="3:39" ht="15.75" thickBot="1" x14ac:dyDescent="0.3">
      <c r="C216" s="2"/>
      <c r="D216" s="169"/>
      <c r="E216" s="173"/>
      <c r="F216" s="174"/>
      <c r="G216" s="174"/>
      <c r="H216" s="174"/>
      <c r="I216" s="174"/>
      <c r="J216" s="174"/>
      <c r="K216" s="174"/>
      <c r="L216" s="175"/>
      <c r="M216" s="87">
        <v>36.89</v>
      </c>
      <c r="N216" s="74" t="s">
        <v>35</v>
      </c>
      <c r="O216" s="84">
        <v>8.19</v>
      </c>
      <c r="P216" s="173"/>
      <c r="Q216" s="174"/>
      <c r="R216" s="174"/>
      <c r="S216" s="174"/>
      <c r="T216" s="174"/>
      <c r="U216" s="174"/>
      <c r="V216" s="174"/>
      <c r="W216" s="174"/>
      <c r="X216" s="174"/>
      <c r="Y216" s="174"/>
      <c r="Z216" s="174"/>
      <c r="AA216" s="174"/>
      <c r="AB216" s="174"/>
      <c r="AC216" s="174"/>
      <c r="AD216" s="175"/>
      <c r="AE216" s="2"/>
      <c r="AF216" s="2"/>
      <c r="AG216" s="2"/>
      <c r="AH216" s="2"/>
      <c r="AI216" s="2"/>
      <c r="AJ216" s="2"/>
      <c r="AK216" s="2"/>
      <c r="AL216" s="2"/>
      <c r="AM216" s="2"/>
    </row>
    <row r="217" spans="3:39" ht="19.5" customHeight="1" thickBot="1" x14ac:dyDescent="0.3">
      <c r="C217" s="2"/>
      <c r="D217" s="40"/>
      <c r="E217" s="17"/>
      <c r="F217" s="18"/>
      <c r="G217" s="18"/>
      <c r="H217" s="18"/>
      <c r="I217" s="18"/>
      <c r="J217" s="18"/>
      <c r="K217" s="18"/>
      <c r="L217" s="19"/>
      <c r="M217" s="75">
        <f>IF(OR(M216="",O216=""),"",SUM(M215:M216))</f>
        <v>133.51999999999998</v>
      </c>
      <c r="N217" s="76"/>
      <c r="O217" s="77">
        <f>IF(OR(O216="",M216=""),"",SUM(O215:O216))</f>
        <v>76.09</v>
      </c>
      <c r="P217" s="176"/>
      <c r="Q217" s="177"/>
      <c r="R217" s="177"/>
      <c r="S217" s="177"/>
      <c r="T217" s="177"/>
      <c r="U217" s="177"/>
      <c r="V217" s="177"/>
      <c r="W217" s="177"/>
      <c r="X217" s="177"/>
      <c r="Y217" s="177"/>
      <c r="Z217" s="177"/>
      <c r="AA217" s="177"/>
      <c r="AB217" s="177"/>
      <c r="AC217" s="177"/>
      <c r="AD217" s="178"/>
      <c r="AE217" s="2"/>
      <c r="AF217" s="2"/>
      <c r="AG217" s="2"/>
      <c r="AH217" s="2"/>
      <c r="AI217" s="2"/>
      <c r="AJ217" s="2"/>
      <c r="AK217" s="2"/>
      <c r="AL217" s="2"/>
      <c r="AM217" s="2"/>
    </row>
    <row r="218" spans="3:39" x14ac:dyDescent="0.25">
      <c r="C218" s="2"/>
      <c r="D218" s="168" t="s">
        <v>36</v>
      </c>
      <c r="E218" s="170" t="str">
        <f>IF(OR(F106="",H106=""),"3º GRUPO B",E69)</f>
        <v>André fogão</v>
      </c>
      <c r="F218" s="171"/>
      <c r="G218" s="171"/>
      <c r="H218" s="171"/>
      <c r="I218" s="171"/>
      <c r="J218" s="171"/>
      <c r="K218" s="171"/>
      <c r="L218" s="172"/>
      <c r="M218" s="80">
        <v>76.03</v>
      </c>
      <c r="N218" s="73" t="s">
        <v>35</v>
      </c>
      <c r="O218" s="82">
        <v>0</v>
      </c>
      <c r="P218" s="170"/>
      <c r="Q218" s="171"/>
      <c r="R218" s="171"/>
      <c r="S218" s="171"/>
      <c r="T218" s="171"/>
      <c r="U218" s="171"/>
      <c r="V218" s="171"/>
      <c r="W218" s="171"/>
      <c r="X218" s="171"/>
      <c r="Y218" s="171"/>
      <c r="Z218" s="171"/>
      <c r="AA218" s="171"/>
      <c r="AB218" s="171"/>
      <c r="AC218" s="171"/>
      <c r="AD218" s="172"/>
      <c r="AE218" s="2"/>
      <c r="AF218" s="2"/>
      <c r="AG218" s="2"/>
      <c r="AH218" s="2"/>
      <c r="AI218" s="2"/>
      <c r="AJ218" s="2"/>
      <c r="AK218" s="2"/>
      <c r="AL218" s="2"/>
      <c r="AM218" s="2"/>
    </row>
    <row r="219" spans="3:39" ht="15.75" thickBot="1" x14ac:dyDescent="0.3">
      <c r="C219" s="2"/>
      <c r="D219" s="169"/>
      <c r="E219" s="173"/>
      <c r="F219" s="174"/>
      <c r="G219" s="174"/>
      <c r="H219" s="174"/>
      <c r="I219" s="174"/>
      <c r="J219" s="174"/>
      <c r="K219" s="174"/>
      <c r="L219" s="175"/>
      <c r="M219" s="87">
        <v>23.47</v>
      </c>
      <c r="N219" s="74" t="s">
        <v>35</v>
      </c>
      <c r="O219" s="84">
        <v>0</v>
      </c>
      <c r="P219" s="173"/>
      <c r="Q219" s="174"/>
      <c r="R219" s="174"/>
      <c r="S219" s="174"/>
      <c r="T219" s="174"/>
      <c r="U219" s="174"/>
      <c r="V219" s="174"/>
      <c r="W219" s="174"/>
      <c r="X219" s="174"/>
      <c r="Y219" s="174"/>
      <c r="Z219" s="174"/>
      <c r="AA219" s="174"/>
      <c r="AB219" s="174"/>
      <c r="AC219" s="174"/>
      <c r="AD219" s="175"/>
      <c r="AE219" s="2"/>
      <c r="AF219" s="2"/>
      <c r="AG219" s="2"/>
      <c r="AH219" s="2"/>
      <c r="AI219" s="2"/>
      <c r="AJ219" s="2"/>
      <c r="AK219" s="2"/>
      <c r="AL219" s="2"/>
      <c r="AM219" s="2"/>
    </row>
    <row r="220" spans="3:39" ht="18.75" customHeight="1" thickBot="1" x14ac:dyDescent="0.3">
      <c r="C220" s="2"/>
      <c r="D220" s="40"/>
      <c r="E220" s="17"/>
      <c r="F220" s="18"/>
      <c r="G220" s="18"/>
      <c r="H220" s="18"/>
      <c r="I220" s="18"/>
      <c r="J220" s="18"/>
      <c r="K220" s="18"/>
      <c r="L220" s="19"/>
      <c r="M220" s="75">
        <f>IF(OR(M219="",O219=""),"",SUM(M218:M219))</f>
        <v>99.5</v>
      </c>
      <c r="N220" s="76"/>
      <c r="O220" s="77">
        <f>IF(OR(M219="",O219=""),"",SUM(O218:O219))</f>
        <v>0</v>
      </c>
      <c r="P220" s="176"/>
      <c r="Q220" s="177"/>
      <c r="R220" s="177"/>
      <c r="S220" s="177"/>
      <c r="T220" s="177"/>
      <c r="U220" s="177"/>
      <c r="V220" s="177"/>
      <c r="W220" s="177"/>
      <c r="X220" s="177"/>
      <c r="Y220" s="177"/>
      <c r="Z220" s="177"/>
      <c r="AA220" s="177"/>
      <c r="AB220" s="177"/>
      <c r="AC220" s="177"/>
      <c r="AD220" s="178"/>
      <c r="AE220" s="2"/>
      <c r="AF220" s="2"/>
      <c r="AG220" s="2"/>
      <c r="AH220" s="2"/>
      <c r="AI220" s="2"/>
      <c r="AJ220" s="2"/>
      <c r="AK220" s="2"/>
      <c r="AL220" s="2"/>
      <c r="AM220" s="2"/>
    </row>
    <row r="221" spans="3:39" x14ac:dyDescent="0.25">
      <c r="C221" s="2"/>
      <c r="D221" s="168" t="s">
        <v>37</v>
      </c>
      <c r="E221" s="170" t="str">
        <f>IF(OR(F157="",H157=""),"3º GRUPO C",E120)</f>
        <v>Lucca Mengão</v>
      </c>
      <c r="F221" s="171"/>
      <c r="G221" s="171"/>
      <c r="H221" s="171"/>
      <c r="I221" s="171"/>
      <c r="J221" s="171"/>
      <c r="K221" s="171"/>
      <c r="L221" s="172"/>
      <c r="M221" s="83">
        <v>65.23</v>
      </c>
      <c r="N221" s="73" t="s">
        <v>35</v>
      </c>
      <c r="O221" s="81">
        <v>92.93</v>
      </c>
      <c r="P221" s="170" t="str">
        <f>IF(OR(F106="",H106=""),"4º GRUPO B",E70)</f>
        <v>Grajaú F.C.</v>
      </c>
      <c r="Q221" s="171"/>
      <c r="R221" s="171"/>
      <c r="S221" s="171"/>
      <c r="T221" s="171"/>
      <c r="U221" s="171"/>
      <c r="V221" s="171"/>
      <c r="W221" s="171"/>
      <c r="X221" s="171"/>
      <c r="Y221" s="171"/>
      <c r="Z221" s="171"/>
      <c r="AA221" s="171"/>
      <c r="AB221" s="171"/>
      <c r="AC221" s="171"/>
      <c r="AD221" s="172"/>
      <c r="AE221" s="2"/>
      <c r="AF221" s="2"/>
      <c r="AG221" s="2"/>
      <c r="AH221" s="2"/>
      <c r="AI221" s="2"/>
      <c r="AJ221" s="2"/>
      <c r="AK221" s="2"/>
      <c r="AL221" s="2"/>
      <c r="AM221" s="2"/>
    </row>
    <row r="222" spans="3:39" ht="15.75" thickBot="1" x14ac:dyDescent="0.3">
      <c r="C222" s="2"/>
      <c r="D222" s="169"/>
      <c r="E222" s="173"/>
      <c r="F222" s="174"/>
      <c r="G222" s="174"/>
      <c r="H222" s="174"/>
      <c r="I222" s="174"/>
      <c r="J222" s="174"/>
      <c r="K222" s="174"/>
      <c r="L222" s="175"/>
      <c r="M222" s="85">
        <v>27.3</v>
      </c>
      <c r="N222" s="74" t="s">
        <v>35</v>
      </c>
      <c r="O222" s="88">
        <v>29.09</v>
      </c>
      <c r="P222" s="173"/>
      <c r="Q222" s="174"/>
      <c r="R222" s="174"/>
      <c r="S222" s="174"/>
      <c r="T222" s="174"/>
      <c r="U222" s="174"/>
      <c r="V222" s="174"/>
      <c r="W222" s="174"/>
      <c r="X222" s="174"/>
      <c r="Y222" s="174"/>
      <c r="Z222" s="174"/>
      <c r="AA222" s="174"/>
      <c r="AB222" s="174"/>
      <c r="AC222" s="174"/>
      <c r="AD222" s="175"/>
      <c r="AE222" s="2"/>
      <c r="AF222" s="2"/>
      <c r="AG222" s="2"/>
      <c r="AH222" s="2"/>
      <c r="AI222" s="2"/>
      <c r="AJ222" s="2"/>
      <c r="AK222" s="2"/>
      <c r="AL222" s="2"/>
      <c r="AM222" s="2"/>
    </row>
    <row r="223" spans="3:39" ht="21" customHeight="1" thickBot="1" x14ac:dyDescent="0.3">
      <c r="C223" s="2"/>
      <c r="D223" s="40"/>
      <c r="E223" s="17"/>
      <c r="F223" s="18"/>
      <c r="G223" s="18"/>
      <c r="H223" s="18"/>
      <c r="I223" s="18"/>
      <c r="J223" s="18"/>
      <c r="K223" s="18"/>
      <c r="L223" s="19"/>
      <c r="M223" s="86">
        <f>IF(OR(M222="",O222=""),"",SUM(M221:M222))</f>
        <v>92.53</v>
      </c>
      <c r="N223" s="76"/>
      <c r="O223" s="89">
        <f>IF(OR(O222="",M222=""),"",SUM(O221:O222))</f>
        <v>122.02000000000001</v>
      </c>
      <c r="P223" s="176"/>
      <c r="Q223" s="177"/>
      <c r="R223" s="177"/>
      <c r="S223" s="177"/>
      <c r="T223" s="177"/>
      <c r="U223" s="177"/>
      <c r="V223" s="177"/>
      <c r="W223" s="177"/>
      <c r="X223" s="177"/>
      <c r="Y223" s="177"/>
      <c r="Z223" s="177"/>
      <c r="AA223" s="177"/>
      <c r="AB223" s="177"/>
      <c r="AC223" s="177"/>
      <c r="AD223" s="178"/>
      <c r="AE223" s="2"/>
      <c r="AF223" s="2"/>
      <c r="AG223" s="2"/>
      <c r="AH223" s="2"/>
      <c r="AI223" s="2"/>
      <c r="AJ223" s="2"/>
      <c r="AK223" s="2"/>
      <c r="AL223" s="2"/>
      <c r="AM223" s="2"/>
    </row>
    <row r="224" spans="3:39" x14ac:dyDescent="0.25">
      <c r="C224" s="2"/>
      <c r="D224" s="168" t="s">
        <v>38</v>
      </c>
      <c r="E224" s="170" t="str">
        <f>IF(OR(F208="",H208=""),"3º GRUPO D",E171)</f>
        <v xml:space="preserve">F.C. Bugrao </v>
      </c>
      <c r="F224" s="171"/>
      <c r="G224" s="171"/>
      <c r="H224" s="171"/>
      <c r="I224" s="171"/>
      <c r="J224" s="171"/>
      <c r="K224" s="171"/>
      <c r="L224" s="172"/>
      <c r="M224" s="80">
        <v>90.33</v>
      </c>
      <c r="N224" s="73" t="s">
        <v>35</v>
      </c>
      <c r="O224" s="82">
        <v>60.31</v>
      </c>
      <c r="P224" s="170" t="str">
        <f>IF(OR(F55="",H55=""),"4º GRUPO A",E19)</f>
        <v>IGORJUNIO I.F.C</v>
      </c>
      <c r="Q224" s="171"/>
      <c r="R224" s="171"/>
      <c r="S224" s="171"/>
      <c r="T224" s="171"/>
      <c r="U224" s="171"/>
      <c r="V224" s="171"/>
      <c r="W224" s="171"/>
      <c r="X224" s="171"/>
      <c r="Y224" s="171"/>
      <c r="Z224" s="171"/>
      <c r="AA224" s="171"/>
      <c r="AB224" s="171"/>
      <c r="AC224" s="171"/>
      <c r="AD224" s="172"/>
      <c r="AE224" s="2"/>
      <c r="AF224" s="2"/>
      <c r="AG224" s="2"/>
      <c r="AH224" s="2"/>
      <c r="AI224" s="2"/>
      <c r="AJ224" s="2"/>
      <c r="AK224" s="2"/>
      <c r="AL224" s="2"/>
      <c r="AM224" s="2"/>
    </row>
    <row r="225" spans="3:39" ht="15.75" thickBot="1" x14ac:dyDescent="0.3">
      <c r="C225" s="2"/>
      <c r="D225" s="169"/>
      <c r="E225" s="173"/>
      <c r="F225" s="174"/>
      <c r="G225" s="174"/>
      <c r="H225" s="174"/>
      <c r="I225" s="174"/>
      <c r="J225" s="174"/>
      <c r="K225" s="174"/>
      <c r="L225" s="175"/>
      <c r="M225" s="85">
        <v>28.47</v>
      </c>
      <c r="N225" s="74" t="s">
        <v>35</v>
      </c>
      <c r="O225" s="88">
        <v>36.11</v>
      </c>
      <c r="P225" s="173"/>
      <c r="Q225" s="174"/>
      <c r="R225" s="174"/>
      <c r="S225" s="174"/>
      <c r="T225" s="174"/>
      <c r="U225" s="174"/>
      <c r="V225" s="174"/>
      <c r="W225" s="174"/>
      <c r="X225" s="174"/>
      <c r="Y225" s="174"/>
      <c r="Z225" s="174"/>
      <c r="AA225" s="174"/>
      <c r="AB225" s="174"/>
      <c r="AC225" s="174"/>
      <c r="AD225" s="175"/>
      <c r="AE225" s="2"/>
      <c r="AF225" s="2"/>
      <c r="AG225" s="2"/>
      <c r="AH225" s="2"/>
      <c r="AI225" s="2"/>
      <c r="AJ225" s="2"/>
      <c r="AK225" s="2"/>
      <c r="AL225" s="2"/>
      <c r="AM225" s="2"/>
    </row>
    <row r="226" spans="3:39" ht="19.5" customHeight="1" thickBot="1" x14ac:dyDescent="0.3">
      <c r="D226" s="20"/>
      <c r="E226" s="17"/>
      <c r="F226" s="18"/>
      <c r="G226" s="18"/>
      <c r="H226" s="18"/>
      <c r="I226" s="18"/>
      <c r="J226" s="18"/>
      <c r="K226" s="18"/>
      <c r="L226" s="19"/>
      <c r="M226" s="78">
        <f>IF(OR(M225="",O225=""),"",SUM(M224:M225))</f>
        <v>118.8</v>
      </c>
      <c r="N226" s="76"/>
      <c r="O226" s="79">
        <f>IF(OR(M225="",O225=""),"",SUM(O224:O225))</f>
        <v>96.42</v>
      </c>
      <c r="P226" s="176"/>
      <c r="Q226" s="177"/>
      <c r="R226" s="177"/>
      <c r="S226" s="177"/>
      <c r="T226" s="177"/>
      <c r="U226" s="177"/>
      <c r="V226" s="177"/>
      <c r="W226" s="177"/>
      <c r="X226" s="177"/>
      <c r="Y226" s="177"/>
      <c r="Z226" s="177"/>
      <c r="AA226" s="177"/>
      <c r="AB226" s="177"/>
      <c r="AC226" s="177"/>
      <c r="AD226" s="178"/>
    </row>
    <row r="227" spans="3:39" ht="15.75" thickBot="1" x14ac:dyDescent="0.3"/>
    <row r="228" spans="3:39" x14ac:dyDescent="0.25">
      <c r="D228" s="133" t="s">
        <v>32</v>
      </c>
      <c r="E228" s="134"/>
      <c r="F228" s="134"/>
      <c r="G228" s="134"/>
      <c r="H228" s="134"/>
      <c r="I228" s="134"/>
      <c r="J228" s="134"/>
      <c r="K228" s="134"/>
      <c r="L228" s="134"/>
      <c r="M228" s="134"/>
      <c r="N228" s="134"/>
      <c r="O228" s="134"/>
      <c r="P228" s="134"/>
      <c r="Q228" s="134"/>
      <c r="R228" s="134"/>
      <c r="S228" s="134"/>
      <c r="T228" s="134"/>
      <c r="U228" s="134"/>
      <c r="V228" s="134"/>
      <c r="W228" s="134"/>
      <c r="X228" s="134"/>
      <c r="Y228" s="134"/>
      <c r="Z228" s="134"/>
      <c r="AA228" s="134"/>
      <c r="AB228" s="134"/>
      <c r="AC228" s="134"/>
      <c r="AD228" s="135"/>
    </row>
    <row r="229" spans="3:39" x14ac:dyDescent="0.25">
      <c r="D229" s="136"/>
      <c r="E229" s="137"/>
      <c r="F229" s="137"/>
      <c r="G229" s="137"/>
      <c r="H229" s="137"/>
      <c r="I229" s="137"/>
      <c r="J229" s="137"/>
      <c r="K229" s="137"/>
      <c r="L229" s="137"/>
      <c r="M229" s="137"/>
      <c r="N229" s="137"/>
      <c r="O229" s="137"/>
      <c r="P229" s="137"/>
      <c r="Q229" s="137"/>
      <c r="R229" s="137"/>
      <c r="S229" s="137"/>
      <c r="T229" s="137"/>
      <c r="U229" s="137"/>
      <c r="V229" s="137"/>
      <c r="W229" s="137"/>
      <c r="X229" s="137"/>
      <c r="Y229" s="137"/>
      <c r="Z229" s="137"/>
      <c r="AA229" s="137"/>
      <c r="AB229" s="137"/>
      <c r="AC229" s="137"/>
      <c r="AD229" s="138"/>
    </row>
    <row r="230" spans="3:39" ht="15.75" thickBot="1" x14ac:dyDescent="0.3">
      <c r="D230" s="139"/>
      <c r="E230" s="140"/>
      <c r="F230" s="140"/>
      <c r="G230" s="140"/>
      <c r="H230" s="140"/>
      <c r="I230" s="140"/>
      <c r="J230" s="140"/>
      <c r="K230" s="137"/>
      <c r="L230" s="137"/>
      <c r="M230" s="137"/>
      <c r="N230" s="137"/>
      <c r="O230" s="137"/>
      <c r="P230" s="137"/>
      <c r="Q230" s="137"/>
      <c r="R230" s="137"/>
      <c r="S230" s="140"/>
      <c r="T230" s="140"/>
      <c r="U230" s="140"/>
      <c r="V230" s="140"/>
      <c r="W230" s="140"/>
      <c r="X230" s="140"/>
      <c r="Y230" s="140"/>
      <c r="Z230" s="140"/>
      <c r="AA230" s="140"/>
      <c r="AB230" s="140"/>
      <c r="AC230" s="140"/>
      <c r="AD230" s="141"/>
    </row>
    <row r="231" spans="3:39" ht="12.75" customHeight="1" x14ac:dyDescent="0.25">
      <c r="D231" s="11"/>
      <c r="E231" s="12"/>
      <c r="F231" s="12"/>
      <c r="G231" s="12"/>
      <c r="H231" s="12"/>
      <c r="I231" s="12"/>
      <c r="J231" s="12"/>
      <c r="K231" s="162" t="s">
        <v>33</v>
      </c>
      <c r="L231" s="163"/>
      <c r="M231" s="163"/>
      <c r="N231" s="163"/>
      <c r="O231" s="163"/>
      <c r="P231" s="163"/>
      <c r="Q231" s="163"/>
      <c r="R231" s="164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</row>
    <row r="232" spans="3:39" ht="13.5" customHeight="1" thickBot="1" x14ac:dyDescent="0.3">
      <c r="D232" s="14"/>
      <c r="E232" s="15"/>
      <c r="F232" s="15"/>
      <c r="G232" s="15"/>
      <c r="H232" s="15"/>
      <c r="I232" s="15"/>
      <c r="J232" s="15"/>
      <c r="K232" s="165"/>
      <c r="L232" s="166"/>
      <c r="M232" s="166"/>
      <c r="N232" s="166"/>
      <c r="O232" s="166"/>
      <c r="P232" s="166"/>
      <c r="Q232" s="166"/>
      <c r="R232" s="167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</row>
    <row r="233" spans="3:39" x14ac:dyDescent="0.25">
      <c r="D233" s="168" t="s">
        <v>41</v>
      </c>
      <c r="E233" s="170" t="str">
        <f>IF(OR(F55="",H55=""),"1º GRUPO A",E16)</f>
        <v>Us Karas</v>
      </c>
      <c r="F233" s="171"/>
      <c r="G233" s="171"/>
      <c r="H233" s="171"/>
      <c r="I233" s="171"/>
      <c r="J233" s="171"/>
      <c r="K233" s="171"/>
      <c r="L233" s="172"/>
      <c r="M233" s="83">
        <v>69.33</v>
      </c>
      <c r="N233" s="73" t="s">
        <v>35</v>
      </c>
      <c r="O233" s="81">
        <v>83.4</v>
      </c>
      <c r="P233" s="170" t="str">
        <f>IF(OR(F208="",H208=""),"2º GRUPO D",E170)</f>
        <v xml:space="preserve">Botafogo Rocha </v>
      </c>
      <c r="Q233" s="171"/>
      <c r="R233" s="171"/>
      <c r="S233" s="171"/>
      <c r="T233" s="171"/>
      <c r="U233" s="171"/>
      <c r="V233" s="171"/>
      <c r="W233" s="171"/>
      <c r="X233" s="171"/>
      <c r="Y233" s="171"/>
      <c r="Z233" s="171"/>
      <c r="AA233" s="171"/>
      <c r="AB233" s="171"/>
      <c r="AC233" s="171"/>
      <c r="AD233" s="172"/>
    </row>
    <row r="234" spans="3:39" ht="15.75" thickBot="1" x14ac:dyDescent="0.3">
      <c r="D234" s="169"/>
      <c r="E234" s="173"/>
      <c r="F234" s="174"/>
      <c r="G234" s="174"/>
      <c r="H234" s="174"/>
      <c r="I234" s="174"/>
      <c r="J234" s="174"/>
      <c r="K234" s="174"/>
      <c r="L234" s="175"/>
      <c r="M234" s="85">
        <v>30.41</v>
      </c>
      <c r="N234" s="74" t="s">
        <v>35</v>
      </c>
      <c r="O234" s="88">
        <v>32.19</v>
      </c>
      <c r="P234" s="173"/>
      <c r="Q234" s="174"/>
      <c r="R234" s="174"/>
      <c r="S234" s="174"/>
      <c r="T234" s="174"/>
      <c r="U234" s="174"/>
      <c r="V234" s="174"/>
      <c r="W234" s="174"/>
      <c r="X234" s="174"/>
      <c r="Y234" s="174"/>
      <c r="Z234" s="174"/>
      <c r="AA234" s="174"/>
      <c r="AB234" s="174"/>
      <c r="AC234" s="174"/>
      <c r="AD234" s="175"/>
    </row>
    <row r="235" spans="3:39" ht="18.75" customHeight="1" thickBot="1" x14ac:dyDescent="0.3">
      <c r="D235" s="40"/>
      <c r="E235" s="17"/>
      <c r="F235" s="18"/>
      <c r="G235" s="18"/>
      <c r="H235" s="18"/>
      <c r="I235" s="18"/>
      <c r="J235" s="18"/>
      <c r="K235" s="18"/>
      <c r="L235" s="19"/>
      <c r="M235" s="86">
        <f>IF(OR(M234="",O234=""),"",SUM(M233:M234))</f>
        <v>99.74</v>
      </c>
      <c r="N235" s="76"/>
      <c r="O235" s="89">
        <f>IF(OR(O234="",M234=""),"",SUM(O233:O234))</f>
        <v>115.59</v>
      </c>
      <c r="P235" s="176"/>
      <c r="Q235" s="177"/>
      <c r="R235" s="177"/>
      <c r="S235" s="177"/>
      <c r="T235" s="177"/>
      <c r="U235" s="177"/>
      <c r="V235" s="177"/>
      <c r="W235" s="177"/>
      <c r="X235" s="177"/>
      <c r="Y235" s="177"/>
      <c r="Z235" s="177"/>
      <c r="AA235" s="177"/>
      <c r="AB235" s="177"/>
      <c r="AC235" s="177"/>
      <c r="AD235" s="178"/>
    </row>
    <row r="236" spans="3:39" x14ac:dyDescent="0.25">
      <c r="D236" s="168" t="s">
        <v>42</v>
      </c>
      <c r="E236" s="170" t="str">
        <f>IF(OR(F106="",H106=""),"1º GRUPO B",E67)</f>
        <v>ManchesterUrubu City</v>
      </c>
      <c r="F236" s="171"/>
      <c r="G236" s="171"/>
      <c r="H236" s="171"/>
      <c r="I236" s="171"/>
      <c r="J236" s="171"/>
      <c r="K236" s="171"/>
      <c r="L236" s="172"/>
      <c r="M236" s="83">
        <v>85.23</v>
      </c>
      <c r="N236" s="73" t="s">
        <v>35</v>
      </c>
      <c r="O236" s="81">
        <v>95.93</v>
      </c>
      <c r="P236" s="170" t="str">
        <f>IF(OR(F157="",H157=""),"2º GRUPO C",E119)</f>
        <v xml:space="preserve">Tribe of Gypsies </v>
      </c>
      <c r="Q236" s="171"/>
      <c r="R236" s="171"/>
      <c r="S236" s="171"/>
      <c r="T236" s="171"/>
      <c r="U236" s="171"/>
      <c r="V236" s="171"/>
      <c r="W236" s="171"/>
      <c r="X236" s="171"/>
      <c r="Y236" s="171"/>
      <c r="Z236" s="171"/>
      <c r="AA236" s="171"/>
      <c r="AB236" s="171"/>
      <c r="AC236" s="171"/>
      <c r="AD236" s="172"/>
    </row>
    <row r="237" spans="3:39" ht="15.75" thickBot="1" x14ac:dyDescent="0.3">
      <c r="D237" s="169"/>
      <c r="E237" s="173"/>
      <c r="F237" s="174"/>
      <c r="G237" s="174"/>
      <c r="H237" s="174"/>
      <c r="I237" s="174"/>
      <c r="J237" s="174"/>
      <c r="K237" s="174"/>
      <c r="L237" s="175"/>
      <c r="M237" s="85">
        <v>34.21</v>
      </c>
      <c r="N237" s="74" t="s">
        <v>35</v>
      </c>
      <c r="O237" s="88">
        <v>43.11</v>
      </c>
      <c r="P237" s="173"/>
      <c r="Q237" s="174"/>
      <c r="R237" s="174"/>
      <c r="S237" s="174"/>
      <c r="T237" s="174"/>
      <c r="U237" s="174"/>
      <c r="V237" s="174"/>
      <c r="W237" s="174"/>
      <c r="X237" s="174"/>
      <c r="Y237" s="174"/>
      <c r="Z237" s="174"/>
      <c r="AA237" s="174"/>
      <c r="AB237" s="174"/>
      <c r="AC237" s="174"/>
      <c r="AD237" s="175"/>
    </row>
    <row r="238" spans="3:39" ht="17.25" customHeight="1" thickBot="1" x14ac:dyDescent="0.3">
      <c r="D238" s="40"/>
      <c r="E238" s="17"/>
      <c r="F238" s="18"/>
      <c r="G238" s="18"/>
      <c r="H238" s="18"/>
      <c r="I238" s="18"/>
      <c r="J238" s="18"/>
      <c r="K238" s="18"/>
      <c r="L238" s="19"/>
      <c r="M238" s="86">
        <f>IF(OR(M237="",O237=""),"",SUM(M236:M237))</f>
        <v>119.44</v>
      </c>
      <c r="N238" s="76"/>
      <c r="O238" s="89">
        <f>IF(OR(M237="",O237=""),"",SUM(O236:O237))</f>
        <v>139.04000000000002</v>
      </c>
      <c r="P238" s="176"/>
      <c r="Q238" s="177"/>
      <c r="R238" s="177"/>
      <c r="S238" s="177"/>
      <c r="T238" s="177"/>
      <c r="U238" s="177"/>
      <c r="V238" s="177"/>
      <c r="W238" s="177"/>
      <c r="X238" s="177"/>
      <c r="Y238" s="177"/>
      <c r="Z238" s="177"/>
      <c r="AA238" s="177"/>
      <c r="AB238" s="177"/>
      <c r="AC238" s="177"/>
      <c r="AD238" s="178"/>
    </row>
    <row r="239" spans="3:39" x14ac:dyDescent="0.25">
      <c r="D239" s="168" t="s">
        <v>45</v>
      </c>
      <c r="E239" s="170" t="str">
        <f>IF(OR(F157="",H157=""),"1º GRUPO C",E118)</f>
        <v xml:space="preserve">Engenheirense </v>
      </c>
      <c r="F239" s="171"/>
      <c r="G239" s="171"/>
      <c r="H239" s="171"/>
      <c r="I239" s="171"/>
      <c r="J239" s="171"/>
      <c r="K239" s="171"/>
      <c r="L239" s="172"/>
      <c r="M239" s="80">
        <v>99.83</v>
      </c>
      <c r="N239" s="73" t="s">
        <v>35</v>
      </c>
      <c r="O239" s="82">
        <v>59.61</v>
      </c>
      <c r="P239" s="170" t="str">
        <f>IF(OR(F106="",H106=""),"2º GRUPO B",E68)</f>
        <v xml:space="preserve">Real Grotinha United </v>
      </c>
      <c r="Q239" s="171"/>
      <c r="R239" s="171"/>
      <c r="S239" s="171"/>
      <c r="T239" s="171"/>
      <c r="U239" s="171"/>
      <c r="V239" s="171"/>
      <c r="W239" s="171"/>
      <c r="X239" s="171"/>
      <c r="Y239" s="171"/>
      <c r="Z239" s="171"/>
      <c r="AA239" s="171"/>
      <c r="AB239" s="171"/>
      <c r="AC239" s="171"/>
      <c r="AD239" s="172"/>
    </row>
    <row r="240" spans="3:39" ht="15.75" thickBot="1" x14ac:dyDescent="0.3">
      <c r="D240" s="169"/>
      <c r="E240" s="173"/>
      <c r="F240" s="174"/>
      <c r="G240" s="174"/>
      <c r="H240" s="174"/>
      <c r="I240" s="174"/>
      <c r="J240" s="174"/>
      <c r="K240" s="174"/>
      <c r="L240" s="175"/>
      <c r="M240" s="85">
        <v>21.5</v>
      </c>
      <c r="N240" s="74" t="s">
        <v>35</v>
      </c>
      <c r="O240" s="88">
        <v>30.9</v>
      </c>
      <c r="P240" s="173"/>
      <c r="Q240" s="174"/>
      <c r="R240" s="174"/>
      <c r="S240" s="174"/>
      <c r="T240" s="174"/>
      <c r="U240" s="174"/>
      <c r="V240" s="174"/>
      <c r="W240" s="174"/>
      <c r="X240" s="174"/>
      <c r="Y240" s="174"/>
      <c r="Z240" s="174"/>
      <c r="AA240" s="174"/>
      <c r="AB240" s="174"/>
      <c r="AC240" s="174"/>
      <c r="AD240" s="175"/>
    </row>
    <row r="241" spans="4:30" ht="17.25" customHeight="1" thickBot="1" x14ac:dyDescent="0.3">
      <c r="D241" s="40"/>
      <c r="E241" s="17"/>
      <c r="F241" s="18"/>
      <c r="G241" s="18"/>
      <c r="H241" s="18"/>
      <c r="I241" s="18"/>
      <c r="J241" s="18"/>
      <c r="K241" s="18"/>
      <c r="L241" s="19"/>
      <c r="M241" s="75">
        <f>IF(OR(M240="",O240=""),"",SUM(M239:M240))</f>
        <v>121.33</v>
      </c>
      <c r="N241" s="76"/>
      <c r="O241" s="77">
        <f>IF(OR(O240="",M240=""),"",SUM(O239:O240))</f>
        <v>90.509999999999991</v>
      </c>
      <c r="P241" s="176"/>
      <c r="Q241" s="177"/>
      <c r="R241" s="177"/>
      <c r="S241" s="177"/>
      <c r="T241" s="177"/>
      <c r="U241" s="177"/>
      <c r="V241" s="177"/>
      <c r="W241" s="177"/>
      <c r="X241" s="177"/>
      <c r="Y241" s="177"/>
      <c r="Z241" s="177"/>
      <c r="AA241" s="177"/>
      <c r="AB241" s="177"/>
      <c r="AC241" s="177"/>
      <c r="AD241" s="178"/>
    </row>
    <row r="242" spans="4:30" x14ac:dyDescent="0.25">
      <c r="D242" s="168" t="s">
        <v>47</v>
      </c>
      <c r="E242" s="170" t="str">
        <f>IF(OR(F208="",H208=""),"1º GRUPO D",E169)</f>
        <v>.In$a.Nyos.Br</v>
      </c>
      <c r="F242" s="171"/>
      <c r="G242" s="171"/>
      <c r="H242" s="171"/>
      <c r="I242" s="171"/>
      <c r="J242" s="171"/>
      <c r="K242" s="171"/>
      <c r="L242" s="172"/>
      <c r="M242" s="80">
        <v>66.53</v>
      </c>
      <c r="N242" s="73" t="s">
        <v>35</v>
      </c>
      <c r="O242" s="82">
        <v>52.71</v>
      </c>
      <c r="P242" s="170" t="str">
        <f>IF(OR(F55="",H55=""),"2º GRUPO A",E17)</f>
        <v>Stars United C.F</v>
      </c>
      <c r="Q242" s="171"/>
      <c r="R242" s="171"/>
      <c r="S242" s="171"/>
      <c r="T242" s="171"/>
      <c r="U242" s="171"/>
      <c r="V242" s="171"/>
      <c r="W242" s="171"/>
      <c r="X242" s="171"/>
      <c r="Y242" s="171"/>
      <c r="Z242" s="171"/>
      <c r="AA242" s="171"/>
      <c r="AB242" s="171"/>
      <c r="AC242" s="171"/>
      <c r="AD242" s="172"/>
    </row>
    <row r="243" spans="4:30" ht="15.75" thickBot="1" x14ac:dyDescent="0.3">
      <c r="D243" s="169"/>
      <c r="E243" s="173"/>
      <c r="F243" s="174"/>
      <c r="G243" s="174"/>
      <c r="H243" s="174"/>
      <c r="I243" s="174"/>
      <c r="J243" s="174"/>
      <c r="K243" s="174"/>
      <c r="L243" s="175"/>
      <c r="M243" s="85">
        <v>22.2</v>
      </c>
      <c r="N243" s="74" t="s">
        <v>35</v>
      </c>
      <c r="O243" s="88">
        <v>51.81</v>
      </c>
      <c r="P243" s="173"/>
      <c r="Q243" s="174"/>
      <c r="R243" s="174"/>
      <c r="S243" s="174"/>
      <c r="T243" s="174"/>
      <c r="U243" s="174"/>
      <c r="V243" s="174"/>
      <c r="W243" s="174"/>
      <c r="X243" s="174"/>
      <c r="Y243" s="174"/>
      <c r="Z243" s="174"/>
      <c r="AA243" s="174"/>
      <c r="AB243" s="174"/>
      <c r="AC243" s="174"/>
      <c r="AD243" s="175"/>
    </row>
    <row r="244" spans="4:30" ht="17.25" customHeight="1" thickBot="1" x14ac:dyDescent="0.3">
      <c r="D244" s="20"/>
      <c r="E244" s="17"/>
      <c r="F244" s="18"/>
      <c r="G244" s="18"/>
      <c r="H244" s="18"/>
      <c r="I244" s="18"/>
      <c r="J244" s="18"/>
      <c r="K244" s="18"/>
      <c r="L244" s="19"/>
      <c r="M244" s="91">
        <f>IF(OR(M243="",O243=""),"",SUM(M242:M243))</f>
        <v>88.73</v>
      </c>
      <c r="N244" s="76"/>
      <c r="O244" s="90">
        <f>IF(OR(M243="",O243=""),"",SUM(O242:O243))</f>
        <v>104.52000000000001</v>
      </c>
      <c r="P244" s="176"/>
      <c r="Q244" s="177"/>
      <c r="R244" s="177"/>
      <c r="S244" s="177"/>
      <c r="T244" s="177"/>
      <c r="U244" s="177"/>
      <c r="V244" s="177"/>
      <c r="W244" s="177"/>
      <c r="X244" s="177"/>
      <c r="Y244" s="177"/>
      <c r="Z244" s="177"/>
      <c r="AA244" s="177"/>
      <c r="AB244" s="177"/>
      <c r="AC244" s="177"/>
      <c r="AD244" s="178"/>
    </row>
    <row r="245" spans="4:30" ht="17.25" customHeight="1" thickBot="1" x14ac:dyDescent="0.3">
      <c r="D245" s="46"/>
      <c r="E245" s="47"/>
      <c r="F245" s="47"/>
      <c r="G245" s="47"/>
      <c r="H245" s="47"/>
      <c r="I245" s="47"/>
      <c r="J245" s="47"/>
      <c r="K245" s="47"/>
      <c r="L245" s="47"/>
      <c r="M245" s="48"/>
      <c r="N245" s="49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</row>
    <row r="246" spans="4:30" ht="17.25" customHeight="1" x14ac:dyDescent="0.25">
      <c r="D246" s="192" t="s">
        <v>63</v>
      </c>
      <c r="E246" s="193"/>
      <c r="F246" s="193"/>
      <c r="G246" s="193"/>
      <c r="H246" s="193"/>
      <c r="I246" s="193"/>
      <c r="J246" s="193"/>
      <c r="K246" s="193"/>
      <c r="L246" s="193"/>
      <c r="M246" s="193"/>
      <c r="N246" s="193"/>
      <c r="O246" s="193"/>
      <c r="P246" s="193"/>
      <c r="Q246" s="193"/>
      <c r="R246" s="193"/>
      <c r="S246" s="193"/>
      <c r="T246" s="193"/>
      <c r="U246" s="193"/>
      <c r="V246" s="193"/>
      <c r="W246" s="193"/>
      <c r="X246" s="193"/>
      <c r="Y246" s="193"/>
      <c r="Z246" s="193"/>
      <c r="AA246" s="193"/>
      <c r="AB246" s="193"/>
      <c r="AC246" s="193"/>
      <c r="AD246" s="194"/>
    </row>
    <row r="247" spans="4:30" ht="17.25" customHeight="1" x14ac:dyDescent="0.25">
      <c r="D247" s="195"/>
      <c r="E247" s="196"/>
      <c r="F247" s="196"/>
      <c r="G247" s="196"/>
      <c r="H247" s="196"/>
      <c r="I247" s="196"/>
      <c r="J247" s="196"/>
      <c r="K247" s="196"/>
      <c r="L247" s="196"/>
      <c r="M247" s="196"/>
      <c r="N247" s="196"/>
      <c r="O247" s="196"/>
      <c r="P247" s="196"/>
      <c r="Q247" s="196"/>
      <c r="R247" s="196"/>
      <c r="S247" s="196"/>
      <c r="T247" s="196"/>
      <c r="U247" s="196"/>
      <c r="V247" s="196"/>
      <c r="W247" s="196"/>
      <c r="X247" s="196"/>
      <c r="Y247" s="196"/>
      <c r="Z247" s="196"/>
      <c r="AA247" s="196"/>
      <c r="AB247" s="196"/>
      <c r="AC247" s="196"/>
      <c r="AD247" s="197"/>
    </row>
    <row r="248" spans="4:30" ht="17.25" customHeight="1" thickBot="1" x14ac:dyDescent="0.3">
      <c r="D248" s="198"/>
      <c r="E248" s="199"/>
      <c r="F248" s="199"/>
      <c r="G248" s="199"/>
      <c r="H248" s="199"/>
      <c r="I248" s="199"/>
      <c r="J248" s="199"/>
      <c r="K248" s="199"/>
      <c r="L248" s="199"/>
      <c r="M248" s="199"/>
      <c r="N248" s="199"/>
      <c r="O248" s="199"/>
      <c r="P248" s="199"/>
      <c r="Q248" s="199"/>
      <c r="R248" s="199"/>
      <c r="S248" s="199"/>
      <c r="T248" s="199"/>
      <c r="U248" s="199"/>
      <c r="V248" s="199"/>
      <c r="W248" s="199"/>
      <c r="X248" s="199"/>
      <c r="Y248" s="199"/>
      <c r="Z248" s="199"/>
      <c r="AA248" s="199"/>
      <c r="AB248" s="199"/>
      <c r="AC248" s="199"/>
      <c r="AD248" s="200"/>
    </row>
    <row r="249" spans="4:30" ht="17.25" customHeight="1" x14ac:dyDescent="0.25">
      <c r="D249" s="92"/>
      <c r="E249" s="93"/>
      <c r="F249" s="93"/>
      <c r="G249" s="93"/>
      <c r="H249" s="93"/>
      <c r="I249" s="93"/>
      <c r="J249" s="93"/>
      <c r="K249" s="201" t="s">
        <v>40</v>
      </c>
      <c r="L249" s="202"/>
      <c r="M249" s="202"/>
      <c r="N249" s="202"/>
      <c r="O249" s="202"/>
      <c r="P249" s="202"/>
      <c r="Q249" s="202"/>
      <c r="R249" s="203"/>
      <c r="S249" s="93"/>
      <c r="T249" s="93"/>
      <c r="U249" s="93"/>
      <c r="V249" s="93"/>
      <c r="W249" s="93"/>
      <c r="X249" s="93"/>
      <c r="Y249" s="93"/>
      <c r="Z249" s="93"/>
      <c r="AA249" s="93"/>
      <c r="AB249" s="93"/>
      <c r="AC249" s="93"/>
      <c r="AD249" s="94"/>
    </row>
    <row r="250" spans="4:30" ht="17.25" customHeight="1" thickBot="1" x14ac:dyDescent="0.3">
      <c r="D250" s="92"/>
      <c r="E250" s="93"/>
      <c r="F250" s="93"/>
      <c r="G250" s="93"/>
      <c r="H250" s="93"/>
      <c r="I250" s="93"/>
      <c r="J250" s="93"/>
      <c r="K250" s="204"/>
      <c r="L250" s="205"/>
      <c r="M250" s="205"/>
      <c r="N250" s="205"/>
      <c r="O250" s="205"/>
      <c r="P250" s="205"/>
      <c r="Q250" s="205"/>
      <c r="R250" s="206"/>
      <c r="S250" s="93"/>
      <c r="T250" s="93"/>
      <c r="U250" s="93"/>
      <c r="V250" s="93"/>
      <c r="W250" s="93"/>
      <c r="X250" s="93"/>
      <c r="Y250" s="93"/>
      <c r="Z250" s="93"/>
      <c r="AA250" s="93"/>
      <c r="AB250" s="93"/>
      <c r="AC250" s="93"/>
      <c r="AD250" s="94"/>
    </row>
    <row r="251" spans="4:30" ht="18" customHeight="1" x14ac:dyDescent="0.25">
      <c r="D251" s="183" t="s">
        <v>64</v>
      </c>
      <c r="E251" s="183" t="str">
        <f>IF(OR(M217="",O217=""),"VENCEDOR J1",IF(M217&gt;O217,E215,P215))</f>
        <v>FCB BARCELONA 15</v>
      </c>
      <c r="F251" s="184"/>
      <c r="G251" s="184"/>
      <c r="H251" s="184"/>
      <c r="I251" s="184"/>
      <c r="J251" s="184"/>
      <c r="K251" s="184"/>
      <c r="L251" s="185"/>
      <c r="M251" s="80">
        <v>78.760000000000005</v>
      </c>
      <c r="N251" s="73" t="s">
        <v>35</v>
      </c>
      <c r="O251" s="82">
        <v>51.96</v>
      </c>
      <c r="P251" s="183" t="str">
        <f>IF(OR(M220="",O220=""),"VENCEDOR J2",IF(M220&gt;O220,E218,P218))</f>
        <v>André fogão</v>
      </c>
      <c r="Q251" s="184"/>
      <c r="R251" s="184"/>
      <c r="S251" s="184"/>
      <c r="T251" s="184"/>
      <c r="U251" s="184"/>
      <c r="V251" s="184"/>
      <c r="W251" s="184"/>
      <c r="X251" s="184"/>
      <c r="Y251" s="184"/>
      <c r="Z251" s="184"/>
      <c r="AA251" s="184"/>
      <c r="AB251" s="184"/>
      <c r="AC251" s="184"/>
      <c r="AD251" s="185"/>
    </row>
    <row r="252" spans="4:30" ht="18" customHeight="1" thickBot="1" x14ac:dyDescent="0.3">
      <c r="D252" s="182"/>
      <c r="E252" s="186"/>
      <c r="F252" s="187"/>
      <c r="G252" s="187"/>
      <c r="H252" s="187"/>
      <c r="I252" s="187"/>
      <c r="J252" s="187"/>
      <c r="K252" s="187"/>
      <c r="L252" s="188"/>
      <c r="M252" s="121">
        <v>60.78</v>
      </c>
      <c r="N252" s="95" t="s">
        <v>35</v>
      </c>
      <c r="O252" s="122">
        <v>52.78</v>
      </c>
      <c r="P252" s="186"/>
      <c r="Q252" s="187"/>
      <c r="R252" s="187"/>
      <c r="S252" s="187"/>
      <c r="T252" s="187"/>
      <c r="U252" s="187"/>
      <c r="V252" s="187"/>
      <c r="W252" s="187"/>
      <c r="X252" s="187"/>
      <c r="Y252" s="187"/>
      <c r="Z252" s="187"/>
      <c r="AA252" s="187"/>
      <c r="AB252" s="187"/>
      <c r="AC252" s="187"/>
      <c r="AD252" s="188"/>
    </row>
    <row r="253" spans="4:30" ht="18" customHeight="1" thickBot="1" x14ac:dyDescent="0.3">
      <c r="D253" s="96"/>
      <c r="E253" s="97"/>
      <c r="F253" s="98"/>
      <c r="G253" s="98"/>
      <c r="H253" s="98"/>
      <c r="I253" s="98"/>
      <c r="J253" s="98"/>
      <c r="K253" s="98"/>
      <c r="L253" s="99"/>
      <c r="M253" s="100">
        <f>IF(OR(M252="",O252=""),"",SUM(M251:M252))</f>
        <v>139.54000000000002</v>
      </c>
      <c r="N253" s="101"/>
      <c r="O253" s="102">
        <f>IF(OR(M252="",O252=""),"",SUM(O251:O252))</f>
        <v>104.74000000000001</v>
      </c>
      <c r="P253" s="179"/>
      <c r="Q253" s="180"/>
      <c r="R253" s="180"/>
      <c r="S253" s="180"/>
      <c r="T253" s="180"/>
      <c r="U253" s="180"/>
      <c r="V253" s="180"/>
      <c r="W253" s="180"/>
      <c r="X253" s="180"/>
      <c r="Y253" s="180"/>
      <c r="Z253" s="180"/>
      <c r="AA253" s="180"/>
      <c r="AB253" s="180"/>
      <c r="AC253" s="180"/>
      <c r="AD253" s="181"/>
    </row>
    <row r="254" spans="4:30" ht="14.25" customHeight="1" x14ac:dyDescent="0.25">
      <c r="D254" s="182" t="s">
        <v>65</v>
      </c>
      <c r="E254" s="183" t="str">
        <f>IF(OR(M223="",O223=""),"VENCEDOR J3",IF(M223&gt;O223,E221,P221))</f>
        <v>Grajaú F.C.</v>
      </c>
      <c r="F254" s="184"/>
      <c r="G254" s="184"/>
      <c r="H254" s="184"/>
      <c r="I254" s="184"/>
      <c r="J254" s="184"/>
      <c r="K254" s="184"/>
      <c r="L254" s="185"/>
      <c r="M254" s="80">
        <v>57.16</v>
      </c>
      <c r="N254" s="73" t="s">
        <v>35</v>
      </c>
      <c r="O254" s="82">
        <v>51.36</v>
      </c>
      <c r="P254" s="183" t="str">
        <f>IF(OR(M226="",O226=""),"VENCEDOR J4",IF(M226&gt;O226,E224,P224))</f>
        <v xml:space="preserve">F.C. Bugrao </v>
      </c>
      <c r="Q254" s="184"/>
      <c r="R254" s="184"/>
      <c r="S254" s="184"/>
      <c r="T254" s="184"/>
      <c r="U254" s="184"/>
      <c r="V254" s="184"/>
      <c r="W254" s="184"/>
      <c r="X254" s="184"/>
      <c r="Y254" s="184"/>
      <c r="Z254" s="184"/>
      <c r="AA254" s="184"/>
      <c r="AB254" s="184"/>
      <c r="AC254" s="184"/>
      <c r="AD254" s="185"/>
    </row>
    <row r="255" spans="4:30" ht="15.75" customHeight="1" thickBot="1" x14ac:dyDescent="0.3">
      <c r="D255" s="182"/>
      <c r="E255" s="186"/>
      <c r="F255" s="187"/>
      <c r="G255" s="187"/>
      <c r="H255" s="187"/>
      <c r="I255" s="187"/>
      <c r="J255" s="187"/>
      <c r="K255" s="187"/>
      <c r="L255" s="188"/>
      <c r="M255" s="85">
        <v>64.709999999999994</v>
      </c>
      <c r="N255" s="74" t="s">
        <v>35</v>
      </c>
      <c r="O255" s="88">
        <v>64.88</v>
      </c>
      <c r="P255" s="186"/>
      <c r="Q255" s="187"/>
      <c r="R255" s="187"/>
      <c r="S255" s="187"/>
      <c r="T255" s="187"/>
      <c r="U255" s="187"/>
      <c r="V255" s="187"/>
      <c r="W255" s="187"/>
      <c r="X255" s="187"/>
      <c r="Y255" s="187"/>
      <c r="Z255" s="187"/>
      <c r="AA255" s="187"/>
      <c r="AB255" s="187"/>
      <c r="AC255" s="187"/>
      <c r="AD255" s="188"/>
    </row>
    <row r="256" spans="4:30" ht="20.25" customHeight="1" thickBot="1" x14ac:dyDescent="0.3">
      <c r="D256" s="103"/>
      <c r="E256" s="103"/>
      <c r="F256" s="104"/>
      <c r="G256" s="104"/>
      <c r="H256" s="104"/>
      <c r="I256" s="104"/>
      <c r="J256" s="104"/>
      <c r="K256" s="104"/>
      <c r="L256" s="105"/>
      <c r="M256" s="78">
        <f>IF(OR(M255="",O255=""),"",SUM(M254:M255))</f>
        <v>121.86999999999999</v>
      </c>
      <c r="N256" s="76"/>
      <c r="O256" s="79">
        <f>IF(OR(M255="",O255=""),"",SUM(O254:O255))</f>
        <v>116.24</v>
      </c>
      <c r="P256" s="189"/>
      <c r="Q256" s="190"/>
      <c r="R256" s="190"/>
      <c r="S256" s="190"/>
      <c r="T256" s="190"/>
      <c r="U256" s="190"/>
      <c r="V256" s="190"/>
      <c r="W256" s="190"/>
      <c r="X256" s="190"/>
      <c r="Y256" s="190"/>
      <c r="Z256" s="190"/>
      <c r="AA256" s="190"/>
      <c r="AB256" s="190"/>
      <c r="AC256" s="190"/>
      <c r="AD256" s="191"/>
    </row>
    <row r="257" spans="4:35" ht="17.25" customHeight="1" thickBot="1" x14ac:dyDescent="0.3">
      <c r="D257" s="106"/>
      <c r="E257" s="107"/>
      <c r="F257" s="107"/>
      <c r="G257" s="107"/>
      <c r="H257" s="107"/>
      <c r="I257" s="107"/>
      <c r="J257" s="107"/>
      <c r="K257" s="107"/>
      <c r="L257" s="107"/>
      <c r="M257" s="108"/>
      <c r="N257" s="109"/>
      <c r="O257" s="110"/>
      <c r="P257" s="110"/>
      <c r="Q257" s="110"/>
      <c r="R257" s="110"/>
      <c r="S257" s="110"/>
      <c r="T257" s="110"/>
      <c r="U257" s="110"/>
      <c r="V257" s="110"/>
      <c r="W257" s="110"/>
      <c r="X257" s="110"/>
      <c r="Y257" s="110"/>
      <c r="Z257" s="110"/>
      <c r="AA257" s="110"/>
      <c r="AB257" s="110"/>
      <c r="AC257" s="110"/>
      <c r="AD257" s="110"/>
    </row>
    <row r="258" spans="4:35" ht="17.25" customHeight="1" x14ac:dyDescent="0.25">
      <c r="D258" s="192" t="s">
        <v>66</v>
      </c>
      <c r="E258" s="193"/>
      <c r="F258" s="193"/>
      <c r="G258" s="193"/>
      <c r="H258" s="193"/>
      <c r="I258" s="193"/>
      <c r="J258" s="193"/>
      <c r="K258" s="193"/>
      <c r="L258" s="193"/>
      <c r="M258" s="193"/>
      <c r="N258" s="193"/>
      <c r="O258" s="193"/>
      <c r="P258" s="193"/>
      <c r="Q258" s="193"/>
      <c r="R258" s="193"/>
      <c r="S258" s="193"/>
      <c r="T258" s="193"/>
      <c r="U258" s="193"/>
      <c r="V258" s="193"/>
      <c r="W258" s="193"/>
      <c r="X258" s="193"/>
      <c r="Y258" s="193"/>
      <c r="Z258" s="193"/>
      <c r="AA258" s="193"/>
      <c r="AB258" s="193"/>
      <c r="AC258" s="193"/>
      <c r="AD258" s="194"/>
    </row>
    <row r="259" spans="4:35" ht="17.25" customHeight="1" x14ac:dyDescent="0.25">
      <c r="D259" s="195"/>
      <c r="E259" s="196"/>
      <c r="F259" s="196"/>
      <c r="G259" s="196"/>
      <c r="H259" s="196"/>
      <c r="I259" s="196"/>
      <c r="J259" s="196"/>
      <c r="K259" s="196"/>
      <c r="L259" s="196"/>
      <c r="M259" s="196"/>
      <c r="N259" s="196"/>
      <c r="O259" s="196"/>
      <c r="P259" s="196"/>
      <c r="Q259" s="196"/>
      <c r="R259" s="196"/>
      <c r="S259" s="196"/>
      <c r="T259" s="196"/>
      <c r="U259" s="196"/>
      <c r="V259" s="196"/>
      <c r="W259" s="196"/>
      <c r="X259" s="196"/>
      <c r="Y259" s="196"/>
      <c r="Z259" s="196"/>
      <c r="AA259" s="196"/>
      <c r="AB259" s="196"/>
      <c r="AC259" s="196"/>
      <c r="AD259" s="197"/>
    </row>
    <row r="260" spans="4:35" ht="17.25" customHeight="1" thickBot="1" x14ac:dyDescent="0.3">
      <c r="D260" s="198"/>
      <c r="E260" s="199"/>
      <c r="F260" s="199"/>
      <c r="G260" s="199"/>
      <c r="H260" s="199"/>
      <c r="I260" s="199"/>
      <c r="J260" s="199"/>
      <c r="K260" s="199"/>
      <c r="L260" s="199"/>
      <c r="M260" s="199"/>
      <c r="N260" s="199"/>
      <c r="O260" s="199"/>
      <c r="P260" s="199"/>
      <c r="Q260" s="199"/>
      <c r="R260" s="199"/>
      <c r="S260" s="199"/>
      <c r="T260" s="199"/>
      <c r="U260" s="199"/>
      <c r="V260" s="199"/>
      <c r="W260" s="199"/>
      <c r="X260" s="199"/>
      <c r="Y260" s="199"/>
      <c r="Z260" s="199"/>
      <c r="AA260" s="199"/>
      <c r="AB260" s="199"/>
      <c r="AC260" s="199"/>
      <c r="AD260" s="200"/>
    </row>
    <row r="261" spans="4:35" ht="17.25" customHeight="1" x14ac:dyDescent="0.25">
      <c r="D261" s="92"/>
      <c r="E261" s="93"/>
      <c r="F261" s="93"/>
      <c r="G261" s="93"/>
      <c r="H261" s="93"/>
      <c r="I261" s="93"/>
      <c r="J261" s="93"/>
      <c r="K261" s="201" t="s">
        <v>40</v>
      </c>
      <c r="L261" s="202"/>
      <c r="M261" s="202"/>
      <c r="N261" s="202"/>
      <c r="O261" s="202"/>
      <c r="P261" s="202"/>
      <c r="Q261" s="202"/>
      <c r="R261" s="203"/>
      <c r="S261" s="93"/>
      <c r="T261" s="93"/>
      <c r="U261" s="93"/>
      <c r="V261" s="93"/>
      <c r="W261" s="93"/>
      <c r="X261" s="93"/>
      <c r="Y261" s="93"/>
      <c r="Z261" s="93"/>
      <c r="AA261" s="93"/>
      <c r="AB261" s="93"/>
      <c r="AC261" s="93"/>
      <c r="AD261" s="94"/>
    </row>
    <row r="262" spans="4:35" ht="17.25" customHeight="1" thickBot="1" x14ac:dyDescent="0.3">
      <c r="D262" s="92"/>
      <c r="E262" s="93"/>
      <c r="F262" s="93"/>
      <c r="G262" s="93"/>
      <c r="H262" s="93"/>
      <c r="I262" s="93"/>
      <c r="J262" s="93"/>
      <c r="K262" s="204"/>
      <c r="L262" s="205"/>
      <c r="M262" s="205"/>
      <c r="N262" s="205"/>
      <c r="O262" s="205"/>
      <c r="P262" s="205"/>
      <c r="Q262" s="205"/>
      <c r="R262" s="206"/>
      <c r="S262" s="93"/>
      <c r="T262" s="93"/>
      <c r="U262" s="93"/>
      <c r="V262" s="93"/>
      <c r="W262" s="93"/>
      <c r="X262" s="93"/>
      <c r="Y262" s="93"/>
      <c r="Z262" s="93"/>
      <c r="AA262" s="93"/>
      <c r="AB262" s="93"/>
      <c r="AC262" s="93"/>
      <c r="AD262" s="94"/>
      <c r="AI262" s="72"/>
    </row>
    <row r="263" spans="4:35" ht="17.25" customHeight="1" x14ac:dyDescent="0.25">
      <c r="D263" s="183" t="s">
        <v>67</v>
      </c>
      <c r="E263" s="183" t="str">
        <f>IF(OR(M235="",O235=""),"PERDEDOR J5",IF(M235&lt;O235,E233,P233))</f>
        <v>Us Karas</v>
      </c>
      <c r="F263" s="184"/>
      <c r="G263" s="184"/>
      <c r="H263" s="184"/>
      <c r="I263" s="184"/>
      <c r="J263" s="184"/>
      <c r="K263" s="184"/>
      <c r="L263" s="185"/>
      <c r="M263" s="83">
        <v>70.760000000000005</v>
      </c>
      <c r="N263" s="73" t="s">
        <v>35</v>
      </c>
      <c r="O263" s="81">
        <v>71.66</v>
      </c>
      <c r="P263" s="183" t="str">
        <f>IF(OR(M238="",O238=""),"VENCEDOR J6",IF(M238&lt;O238,E236,P236))</f>
        <v>ManchesterUrubu City</v>
      </c>
      <c r="Q263" s="184"/>
      <c r="R263" s="184"/>
      <c r="S263" s="184"/>
      <c r="T263" s="184"/>
      <c r="U263" s="184"/>
      <c r="V263" s="184"/>
      <c r="W263" s="184"/>
      <c r="X263" s="184"/>
      <c r="Y263" s="184"/>
      <c r="Z263" s="184"/>
      <c r="AA263" s="184"/>
      <c r="AB263" s="184"/>
      <c r="AC263" s="184"/>
      <c r="AD263" s="185"/>
    </row>
    <row r="264" spans="4:35" ht="17.25" customHeight="1" thickBot="1" x14ac:dyDescent="0.3">
      <c r="D264" s="182"/>
      <c r="E264" s="186"/>
      <c r="F264" s="187"/>
      <c r="G264" s="187"/>
      <c r="H264" s="187"/>
      <c r="I264" s="187"/>
      <c r="J264" s="187"/>
      <c r="K264" s="187"/>
      <c r="L264" s="188"/>
      <c r="M264" s="121">
        <v>92.08</v>
      </c>
      <c r="N264" s="95" t="s">
        <v>35</v>
      </c>
      <c r="O264" s="122">
        <v>54.58</v>
      </c>
      <c r="P264" s="186"/>
      <c r="Q264" s="187"/>
      <c r="R264" s="187"/>
      <c r="S264" s="187"/>
      <c r="T264" s="187"/>
      <c r="U264" s="187"/>
      <c r="V264" s="187"/>
      <c r="W264" s="187"/>
      <c r="X264" s="187"/>
      <c r="Y264" s="187"/>
      <c r="Z264" s="187"/>
      <c r="AA264" s="187"/>
      <c r="AB264" s="187"/>
      <c r="AC264" s="187"/>
      <c r="AD264" s="188"/>
    </row>
    <row r="265" spans="4:35" ht="17.25" customHeight="1" thickBot="1" x14ac:dyDescent="0.3">
      <c r="D265" s="96"/>
      <c r="E265" s="97"/>
      <c r="F265" s="98"/>
      <c r="G265" s="98"/>
      <c r="H265" s="98"/>
      <c r="I265" s="98"/>
      <c r="J265" s="98"/>
      <c r="K265" s="98"/>
      <c r="L265" s="99"/>
      <c r="M265" s="100">
        <f>IF(OR(M264="",O264=""),"",SUM(M263:M264))</f>
        <v>162.84</v>
      </c>
      <c r="N265" s="101"/>
      <c r="O265" s="102">
        <f>IF(OR(M264="",O264=""),"",SUM(O263:O264))</f>
        <v>126.24</v>
      </c>
      <c r="P265" s="179"/>
      <c r="Q265" s="180"/>
      <c r="R265" s="180"/>
      <c r="S265" s="180"/>
      <c r="T265" s="180"/>
      <c r="U265" s="180"/>
      <c r="V265" s="180"/>
      <c r="W265" s="180"/>
      <c r="X265" s="180"/>
      <c r="Y265" s="180"/>
      <c r="Z265" s="180"/>
      <c r="AA265" s="180"/>
      <c r="AB265" s="180"/>
      <c r="AC265" s="180"/>
      <c r="AD265" s="181"/>
    </row>
    <row r="266" spans="4:35" ht="17.25" customHeight="1" x14ac:dyDescent="0.25">
      <c r="D266" s="182" t="s">
        <v>68</v>
      </c>
      <c r="E266" s="183" t="str">
        <f>IF(OR(M241="",O241=""),"PEREDDOR J7",IF(M241&lt;O241,E239,P239))</f>
        <v xml:space="preserve">Real Grotinha United </v>
      </c>
      <c r="F266" s="184"/>
      <c r="G266" s="184"/>
      <c r="H266" s="184"/>
      <c r="I266" s="184"/>
      <c r="J266" s="184"/>
      <c r="K266" s="184"/>
      <c r="L266" s="185"/>
      <c r="M266" s="83">
        <v>47.24</v>
      </c>
      <c r="N266" s="73" t="s">
        <v>35</v>
      </c>
      <c r="O266" s="81">
        <v>62.46</v>
      </c>
      <c r="P266" s="183" t="str">
        <f>IF(OR(M244="",O244=""),"PERDEDOR J8",IF(M244&lt;O244,E242,P242))</f>
        <v>.In$a.Nyos.Br</v>
      </c>
      <c r="Q266" s="184"/>
      <c r="R266" s="184"/>
      <c r="S266" s="184"/>
      <c r="T266" s="184"/>
      <c r="U266" s="184"/>
      <c r="V266" s="184"/>
      <c r="W266" s="184"/>
      <c r="X266" s="184"/>
      <c r="Y266" s="184"/>
      <c r="Z266" s="184"/>
      <c r="AA266" s="184"/>
      <c r="AB266" s="184"/>
      <c r="AC266" s="184"/>
      <c r="AD266" s="185"/>
    </row>
    <row r="267" spans="4:35" ht="17.25" customHeight="1" thickBot="1" x14ac:dyDescent="0.3">
      <c r="D267" s="182"/>
      <c r="E267" s="186"/>
      <c r="F267" s="187"/>
      <c r="G267" s="187"/>
      <c r="H267" s="187"/>
      <c r="I267" s="187"/>
      <c r="J267" s="187"/>
      <c r="K267" s="187"/>
      <c r="L267" s="188"/>
      <c r="M267" s="85">
        <v>43.8</v>
      </c>
      <c r="N267" s="74" t="s">
        <v>35</v>
      </c>
      <c r="O267" s="88">
        <v>53.88</v>
      </c>
      <c r="P267" s="186"/>
      <c r="Q267" s="187"/>
      <c r="R267" s="187"/>
      <c r="S267" s="187"/>
      <c r="T267" s="187"/>
      <c r="U267" s="187"/>
      <c r="V267" s="187"/>
      <c r="W267" s="187"/>
      <c r="X267" s="187"/>
      <c r="Y267" s="187"/>
      <c r="Z267" s="187"/>
      <c r="AA267" s="187"/>
      <c r="AB267" s="187"/>
      <c r="AC267" s="187"/>
      <c r="AD267" s="188"/>
    </row>
    <row r="268" spans="4:35" ht="17.25" customHeight="1" thickBot="1" x14ac:dyDescent="0.3">
      <c r="D268" s="103"/>
      <c r="E268" s="103"/>
      <c r="F268" s="104"/>
      <c r="G268" s="104"/>
      <c r="H268" s="104"/>
      <c r="I268" s="104"/>
      <c r="J268" s="104"/>
      <c r="K268" s="104"/>
      <c r="L268" s="105"/>
      <c r="M268" s="91">
        <f>IF(OR(M267="",O267=""),"",SUM(M266:M267))</f>
        <v>91.039999999999992</v>
      </c>
      <c r="N268" s="76"/>
      <c r="O268" s="90">
        <f>IF(OR(M267="",O267=""),"",SUM(O266:O267))</f>
        <v>116.34</v>
      </c>
      <c r="P268" s="189"/>
      <c r="Q268" s="190"/>
      <c r="R268" s="190"/>
      <c r="S268" s="190"/>
      <c r="T268" s="190"/>
      <c r="U268" s="190"/>
      <c r="V268" s="190"/>
      <c r="W268" s="190"/>
      <c r="X268" s="190"/>
      <c r="Y268" s="190"/>
      <c r="Z268" s="190"/>
      <c r="AA268" s="190"/>
      <c r="AB268" s="190"/>
      <c r="AC268" s="190"/>
      <c r="AD268" s="191"/>
    </row>
    <row r="269" spans="4:35" ht="15.75" thickBot="1" x14ac:dyDescent="0.3"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</row>
    <row r="270" spans="4:35" x14ac:dyDescent="0.25">
      <c r="D270" s="192" t="s">
        <v>39</v>
      </c>
      <c r="E270" s="193"/>
      <c r="F270" s="193"/>
      <c r="G270" s="193"/>
      <c r="H270" s="193"/>
      <c r="I270" s="193"/>
      <c r="J270" s="193"/>
      <c r="K270" s="193"/>
      <c r="L270" s="193"/>
      <c r="M270" s="193"/>
      <c r="N270" s="193"/>
      <c r="O270" s="193"/>
      <c r="P270" s="193"/>
      <c r="Q270" s="193"/>
      <c r="R270" s="193"/>
      <c r="S270" s="193"/>
      <c r="T270" s="193"/>
      <c r="U270" s="193"/>
      <c r="V270" s="193"/>
      <c r="W270" s="193"/>
      <c r="X270" s="193"/>
      <c r="Y270" s="193"/>
      <c r="Z270" s="193"/>
      <c r="AA270" s="193"/>
      <c r="AB270" s="193"/>
      <c r="AC270" s="193"/>
      <c r="AD270" s="194"/>
    </row>
    <row r="271" spans="4:35" x14ac:dyDescent="0.25">
      <c r="D271" s="195"/>
      <c r="E271" s="196"/>
      <c r="F271" s="196"/>
      <c r="G271" s="196"/>
      <c r="H271" s="196"/>
      <c r="I271" s="196"/>
      <c r="J271" s="196"/>
      <c r="K271" s="196"/>
      <c r="L271" s="196"/>
      <c r="M271" s="196"/>
      <c r="N271" s="196"/>
      <c r="O271" s="196"/>
      <c r="P271" s="196"/>
      <c r="Q271" s="196"/>
      <c r="R271" s="196"/>
      <c r="S271" s="196"/>
      <c r="T271" s="196"/>
      <c r="U271" s="196"/>
      <c r="V271" s="196"/>
      <c r="W271" s="196"/>
      <c r="X271" s="196"/>
      <c r="Y271" s="196"/>
      <c r="Z271" s="196"/>
      <c r="AA271" s="196"/>
      <c r="AB271" s="196"/>
      <c r="AC271" s="196"/>
      <c r="AD271" s="197"/>
    </row>
    <row r="272" spans="4:35" ht="15.75" thickBot="1" x14ac:dyDescent="0.3">
      <c r="D272" s="198"/>
      <c r="E272" s="199"/>
      <c r="F272" s="199"/>
      <c r="G272" s="199"/>
      <c r="H272" s="199"/>
      <c r="I272" s="199"/>
      <c r="J272" s="199"/>
      <c r="K272" s="199"/>
      <c r="L272" s="199"/>
      <c r="M272" s="199"/>
      <c r="N272" s="199"/>
      <c r="O272" s="199"/>
      <c r="P272" s="199"/>
      <c r="Q272" s="199"/>
      <c r="R272" s="199"/>
      <c r="S272" s="199"/>
      <c r="T272" s="199"/>
      <c r="U272" s="199"/>
      <c r="V272" s="199"/>
      <c r="W272" s="199"/>
      <c r="X272" s="199"/>
      <c r="Y272" s="199"/>
      <c r="Z272" s="199"/>
      <c r="AA272" s="199"/>
      <c r="AB272" s="199"/>
      <c r="AC272" s="199"/>
      <c r="AD272" s="200"/>
    </row>
    <row r="273" spans="4:30" ht="16.5" customHeight="1" x14ac:dyDescent="0.25">
      <c r="D273" s="92"/>
      <c r="E273" s="93"/>
      <c r="F273" s="93"/>
      <c r="G273" s="93"/>
      <c r="H273" s="93"/>
      <c r="I273" s="93"/>
      <c r="J273" s="93"/>
      <c r="K273" s="201" t="s">
        <v>40</v>
      </c>
      <c r="L273" s="202"/>
      <c r="M273" s="202"/>
      <c r="N273" s="202"/>
      <c r="O273" s="202"/>
      <c r="P273" s="202"/>
      <c r="Q273" s="202"/>
      <c r="R273" s="203"/>
      <c r="S273" s="93"/>
      <c r="T273" s="93"/>
      <c r="U273" s="93"/>
      <c r="V273" s="93"/>
      <c r="W273" s="93"/>
      <c r="X273" s="93"/>
      <c r="Y273" s="93"/>
      <c r="Z273" s="93"/>
      <c r="AA273" s="93"/>
      <c r="AB273" s="93"/>
      <c r="AC273" s="93"/>
      <c r="AD273" s="94"/>
    </row>
    <row r="274" spans="4:30" ht="17.25" customHeight="1" thickBot="1" x14ac:dyDescent="0.3">
      <c r="D274" s="92"/>
      <c r="E274" s="93"/>
      <c r="F274" s="93"/>
      <c r="G274" s="93"/>
      <c r="H274" s="93"/>
      <c r="I274" s="93"/>
      <c r="J274" s="93"/>
      <c r="K274" s="204"/>
      <c r="L274" s="205"/>
      <c r="M274" s="205"/>
      <c r="N274" s="205"/>
      <c r="O274" s="205"/>
      <c r="P274" s="205"/>
      <c r="Q274" s="205"/>
      <c r="R274" s="206"/>
      <c r="S274" s="93"/>
      <c r="T274" s="93"/>
      <c r="U274" s="93"/>
      <c r="V274" s="93"/>
      <c r="W274" s="93"/>
      <c r="X274" s="93"/>
      <c r="Y274" s="93"/>
      <c r="Z274" s="93"/>
      <c r="AA274" s="93"/>
      <c r="AB274" s="93"/>
      <c r="AC274" s="93"/>
      <c r="AD274" s="94"/>
    </row>
    <row r="275" spans="4:30" x14ac:dyDescent="0.25">
      <c r="D275" s="183" t="s">
        <v>69</v>
      </c>
      <c r="E275" s="183" t="str">
        <f>IF(OR(M235="",O235=""),"VENCEDOR J5",IF(M235&gt;O235,E233,P233))</f>
        <v xml:space="preserve">Botafogo Rocha </v>
      </c>
      <c r="F275" s="184"/>
      <c r="G275" s="184"/>
      <c r="H275" s="184"/>
      <c r="I275" s="184"/>
      <c r="J275" s="184"/>
      <c r="K275" s="184"/>
      <c r="L275" s="185"/>
      <c r="M275" s="83">
        <v>40.36</v>
      </c>
      <c r="N275" s="73" t="s">
        <v>35</v>
      </c>
      <c r="O275" s="81">
        <v>60.56</v>
      </c>
      <c r="P275" s="183" t="str">
        <f>IF(OR(M238="",O238=""),"VENCEDOR J6",IF(M238&gt;O238,E236,P236))</f>
        <v xml:space="preserve">Tribe of Gypsies </v>
      </c>
      <c r="Q275" s="184"/>
      <c r="R275" s="184"/>
      <c r="S275" s="184"/>
      <c r="T275" s="184"/>
      <c r="U275" s="184"/>
      <c r="V275" s="184"/>
      <c r="W275" s="184"/>
      <c r="X275" s="184"/>
      <c r="Y275" s="184"/>
      <c r="Z275" s="184"/>
      <c r="AA275" s="184"/>
      <c r="AB275" s="184"/>
      <c r="AC275" s="184"/>
      <c r="AD275" s="185"/>
    </row>
    <row r="276" spans="4:30" ht="15.75" thickBot="1" x14ac:dyDescent="0.3">
      <c r="D276" s="182"/>
      <c r="E276" s="186"/>
      <c r="F276" s="187"/>
      <c r="G276" s="187"/>
      <c r="H276" s="187"/>
      <c r="I276" s="187"/>
      <c r="J276" s="187"/>
      <c r="K276" s="187"/>
      <c r="L276" s="188"/>
      <c r="M276" s="121">
        <v>68.11</v>
      </c>
      <c r="N276" s="95" t="s">
        <v>35</v>
      </c>
      <c r="O276" s="122">
        <v>56.08</v>
      </c>
      <c r="P276" s="186"/>
      <c r="Q276" s="187"/>
      <c r="R276" s="187"/>
      <c r="S276" s="187"/>
      <c r="T276" s="187"/>
      <c r="U276" s="187"/>
      <c r="V276" s="187"/>
      <c r="W276" s="187"/>
      <c r="X276" s="187"/>
      <c r="Y276" s="187"/>
      <c r="Z276" s="187"/>
      <c r="AA276" s="187"/>
      <c r="AB276" s="187"/>
      <c r="AC276" s="187"/>
      <c r="AD276" s="188"/>
    </row>
    <row r="277" spans="4:30" ht="15" customHeight="1" thickBot="1" x14ac:dyDescent="0.3">
      <c r="D277" s="96"/>
      <c r="E277" s="97"/>
      <c r="F277" s="98"/>
      <c r="G277" s="98"/>
      <c r="H277" s="98"/>
      <c r="I277" s="98"/>
      <c r="J277" s="98"/>
      <c r="K277" s="98"/>
      <c r="L277" s="99"/>
      <c r="M277" s="123">
        <f>IF(OR(M276="",O276=""),"",SUM(M275:M276))</f>
        <v>108.47</v>
      </c>
      <c r="N277" s="101"/>
      <c r="O277" s="124">
        <f>IF(OR(M276="",O276=""),"",SUM(O275:O276))</f>
        <v>116.64</v>
      </c>
      <c r="P277" s="179"/>
      <c r="Q277" s="180"/>
      <c r="R277" s="180"/>
      <c r="S277" s="180"/>
      <c r="T277" s="180"/>
      <c r="U277" s="180"/>
      <c r="V277" s="180"/>
      <c r="W277" s="180"/>
      <c r="X277" s="180"/>
      <c r="Y277" s="180"/>
      <c r="Z277" s="180"/>
      <c r="AA277" s="180"/>
      <c r="AB277" s="180"/>
      <c r="AC277" s="180"/>
      <c r="AD277" s="181"/>
    </row>
    <row r="278" spans="4:30" x14ac:dyDescent="0.25">
      <c r="D278" s="182" t="s">
        <v>70</v>
      </c>
      <c r="E278" s="183" t="str">
        <f>IF(OR(M241="",O241=""),"VENCEDOR J7",IF(M241&gt;O241,E239,P239))</f>
        <v xml:space="preserve">Engenheirense </v>
      </c>
      <c r="F278" s="184"/>
      <c r="G278" s="184"/>
      <c r="H278" s="184"/>
      <c r="I278" s="184"/>
      <c r="J278" s="184"/>
      <c r="K278" s="184"/>
      <c r="L278" s="185"/>
      <c r="M278" s="80">
        <v>48.24</v>
      </c>
      <c r="N278" s="73" t="s">
        <v>35</v>
      </c>
      <c r="O278" s="82">
        <v>25.54</v>
      </c>
      <c r="P278" s="183" t="str">
        <f>IF(OR(M244="",O244=""),"VENCEDOR J8",IF(M244&gt;O244,E242,P242))</f>
        <v>Stars United C.F</v>
      </c>
      <c r="Q278" s="184"/>
      <c r="R278" s="184"/>
      <c r="S278" s="184"/>
      <c r="T278" s="184"/>
      <c r="U278" s="184"/>
      <c r="V278" s="184"/>
      <c r="W278" s="184"/>
      <c r="X278" s="184"/>
      <c r="Y278" s="184"/>
      <c r="Z278" s="184"/>
      <c r="AA278" s="184"/>
      <c r="AB278" s="184"/>
      <c r="AC278" s="184"/>
      <c r="AD278" s="185"/>
    </row>
    <row r="279" spans="4:30" ht="15.75" thickBot="1" x14ac:dyDescent="0.3">
      <c r="D279" s="182"/>
      <c r="E279" s="186"/>
      <c r="F279" s="187"/>
      <c r="G279" s="187"/>
      <c r="H279" s="187"/>
      <c r="I279" s="187"/>
      <c r="J279" s="187"/>
      <c r="K279" s="187"/>
      <c r="L279" s="188"/>
      <c r="M279" s="87">
        <v>55.38</v>
      </c>
      <c r="N279" s="74" t="s">
        <v>35</v>
      </c>
      <c r="O279" s="84">
        <v>49.55</v>
      </c>
      <c r="P279" s="186"/>
      <c r="Q279" s="187"/>
      <c r="R279" s="187"/>
      <c r="S279" s="187"/>
      <c r="T279" s="187"/>
      <c r="U279" s="187"/>
      <c r="V279" s="187"/>
      <c r="W279" s="187"/>
      <c r="X279" s="187"/>
      <c r="Y279" s="187"/>
      <c r="Z279" s="187"/>
      <c r="AA279" s="187"/>
      <c r="AB279" s="187"/>
      <c r="AC279" s="187"/>
      <c r="AD279" s="188"/>
    </row>
    <row r="280" spans="4:30" ht="15.75" thickBot="1" x14ac:dyDescent="0.3">
      <c r="D280" s="103"/>
      <c r="E280" s="103"/>
      <c r="F280" s="104"/>
      <c r="G280" s="104"/>
      <c r="H280" s="104"/>
      <c r="I280" s="104"/>
      <c r="J280" s="104"/>
      <c r="K280" s="104"/>
      <c r="L280" s="105"/>
      <c r="M280" s="78">
        <f>IF(OR(M279="",O279=""),"",SUM(M278:M279))</f>
        <v>103.62</v>
      </c>
      <c r="N280" s="76"/>
      <c r="O280" s="79">
        <f>IF(OR(M279="",O279=""),"",SUM(O278:O279))</f>
        <v>75.09</v>
      </c>
      <c r="P280" s="189"/>
      <c r="Q280" s="190"/>
      <c r="R280" s="190"/>
      <c r="S280" s="190"/>
      <c r="T280" s="190"/>
      <c r="U280" s="190"/>
      <c r="V280" s="190"/>
      <c r="W280" s="190"/>
      <c r="X280" s="190"/>
      <c r="Y280" s="190"/>
      <c r="Z280" s="190"/>
      <c r="AA280" s="190"/>
      <c r="AB280" s="190"/>
      <c r="AC280" s="190"/>
      <c r="AD280" s="191"/>
    </row>
    <row r="281" spans="4:30" ht="15.75" thickBot="1" x14ac:dyDescent="0.3">
      <c r="D281" s="106"/>
      <c r="E281" s="106"/>
      <c r="F281" s="106"/>
      <c r="G281" s="106"/>
      <c r="H281" s="106"/>
      <c r="I281" s="106"/>
      <c r="J281" s="106"/>
      <c r="K281" s="106"/>
      <c r="L281" s="106"/>
      <c r="M281" s="110"/>
      <c r="N281" s="109"/>
      <c r="O281" s="108"/>
      <c r="P281" s="108"/>
      <c r="Q281" s="108"/>
      <c r="R281" s="108"/>
      <c r="S281" s="108"/>
      <c r="T281" s="108"/>
      <c r="U281" s="108"/>
      <c r="V281" s="108"/>
      <c r="W281" s="108"/>
      <c r="X281" s="108"/>
      <c r="Y281" s="108"/>
      <c r="Z281" s="108"/>
      <c r="AA281" s="108"/>
      <c r="AB281" s="108"/>
      <c r="AC281" s="108"/>
      <c r="AD281" s="108"/>
    </row>
    <row r="282" spans="4:30" x14ac:dyDescent="0.25">
      <c r="D282" s="192" t="s">
        <v>63</v>
      </c>
      <c r="E282" s="193"/>
      <c r="F282" s="193"/>
      <c r="G282" s="193"/>
      <c r="H282" s="193"/>
      <c r="I282" s="193"/>
      <c r="J282" s="193"/>
      <c r="K282" s="193"/>
      <c r="L282" s="193"/>
      <c r="M282" s="193"/>
      <c r="N282" s="193"/>
      <c r="O282" s="193"/>
      <c r="P282" s="193"/>
      <c r="Q282" s="193"/>
      <c r="R282" s="193"/>
      <c r="S282" s="193"/>
      <c r="T282" s="193"/>
      <c r="U282" s="193"/>
      <c r="V282" s="193"/>
      <c r="W282" s="193"/>
      <c r="X282" s="193"/>
      <c r="Y282" s="193"/>
      <c r="Z282" s="193"/>
      <c r="AA282" s="193"/>
      <c r="AB282" s="193"/>
      <c r="AC282" s="193"/>
      <c r="AD282" s="194"/>
    </row>
    <row r="283" spans="4:30" x14ac:dyDescent="0.25">
      <c r="D283" s="195"/>
      <c r="E283" s="196"/>
      <c r="F283" s="196"/>
      <c r="G283" s="196"/>
      <c r="H283" s="196"/>
      <c r="I283" s="196"/>
      <c r="J283" s="196"/>
      <c r="K283" s="196"/>
      <c r="L283" s="196"/>
      <c r="M283" s="196"/>
      <c r="N283" s="196"/>
      <c r="O283" s="196"/>
      <c r="P283" s="196"/>
      <c r="Q283" s="196"/>
      <c r="R283" s="196"/>
      <c r="S283" s="196"/>
      <c r="T283" s="196"/>
      <c r="U283" s="196"/>
      <c r="V283" s="196"/>
      <c r="W283" s="196"/>
      <c r="X283" s="196"/>
      <c r="Y283" s="196"/>
      <c r="Z283" s="196"/>
      <c r="AA283" s="196"/>
      <c r="AB283" s="196"/>
      <c r="AC283" s="196"/>
      <c r="AD283" s="197"/>
    </row>
    <row r="284" spans="4:30" ht="15.75" thickBot="1" x14ac:dyDescent="0.3">
      <c r="D284" s="198"/>
      <c r="E284" s="199"/>
      <c r="F284" s="199"/>
      <c r="G284" s="199"/>
      <c r="H284" s="199"/>
      <c r="I284" s="199"/>
      <c r="J284" s="199"/>
      <c r="K284" s="199"/>
      <c r="L284" s="199"/>
      <c r="M284" s="199"/>
      <c r="N284" s="199"/>
      <c r="O284" s="199"/>
      <c r="P284" s="199"/>
      <c r="Q284" s="199"/>
      <c r="R284" s="199"/>
      <c r="S284" s="199"/>
      <c r="T284" s="199"/>
      <c r="U284" s="199"/>
      <c r="V284" s="199"/>
      <c r="W284" s="199"/>
      <c r="X284" s="199"/>
      <c r="Y284" s="199"/>
      <c r="Z284" s="199"/>
      <c r="AA284" s="199"/>
      <c r="AB284" s="199"/>
      <c r="AC284" s="199"/>
      <c r="AD284" s="200"/>
    </row>
    <row r="285" spans="4:30" ht="15.75" customHeight="1" x14ac:dyDescent="0.25">
      <c r="D285" s="92"/>
      <c r="E285" s="93"/>
      <c r="F285" s="93"/>
      <c r="G285" s="93"/>
      <c r="H285" s="93"/>
      <c r="I285" s="93"/>
      <c r="J285" s="93"/>
      <c r="K285" s="201" t="s">
        <v>44</v>
      </c>
      <c r="L285" s="202"/>
      <c r="M285" s="202"/>
      <c r="N285" s="202"/>
      <c r="O285" s="202"/>
      <c r="P285" s="202"/>
      <c r="Q285" s="202"/>
      <c r="R285" s="203"/>
      <c r="S285" s="93"/>
      <c r="T285" s="93"/>
      <c r="U285" s="93"/>
      <c r="V285" s="93"/>
      <c r="W285" s="93"/>
      <c r="X285" s="93"/>
      <c r="Y285" s="93"/>
      <c r="Z285" s="93"/>
      <c r="AA285" s="93"/>
      <c r="AB285" s="93"/>
      <c r="AC285" s="93"/>
      <c r="AD285" s="94"/>
    </row>
    <row r="286" spans="4:30" ht="18.75" customHeight="1" thickBot="1" x14ac:dyDescent="0.3">
      <c r="D286" s="92"/>
      <c r="E286" s="93"/>
      <c r="F286" s="93"/>
      <c r="G286" s="93"/>
      <c r="H286" s="93"/>
      <c r="I286" s="93"/>
      <c r="J286" s="93"/>
      <c r="K286" s="204"/>
      <c r="L286" s="205"/>
      <c r="M286" s="205"/>
      <c r="N286" s="205"/>
      <c r="O286" s="205"/>
      <c r="P286" s="205"/>
      <c r="Q286" s="205"/>
      <c r="R286" s="206"/>
      <c r="S286" s="93"/>
      <c r="T286" s="93"/>
      <c r="U286" s="93"/>
      <c r="V286" s="93"/>
      <c r="W286" s="93"/>
      <c r="X286" s="93"/>
      <c r="Y286" s="93"/>
      <c r="Z286" s="93"/>
      <c r="AA286" s="93"/>
      <c r="AB286" s="93"/>
      <c r="AC286" s="93"/>
      <c r="AD286" s="94"/>
    </row>
    <row r="287" spans="4:30" x14ac:dyDescent="0.25">
      <c r="D287" s="207" t="s">
        <v>71</v>
      </c>
      <c r="E287" s="183" t="str">
        <f>IF(OR(M253="",O253=""),"VENCEDOR J9",IF(M253&gt;O253,E251,P251))</f>
        <v>FCB BARCELONA 15</v>
      </c>
      <c r="F287" s="184"/>
      <c r="G287" s="184"/>
      <c r="H287" s="184"/>
      <c r="I287" s="184"/>
      <c r="J287" s="184"/>
      <c r="K287" s="184"/>
      <c r="L287" s="185"/>
      <c r="M287" s="127">
        <v>51.13</v>
      </c>
      <c r="N287" s="111" t="s">
        <v>35</v>
      </c>
      <c r="O287" s="130">
        <v>35.83</v>
      </c>
      <c r="P287" s="183" t="str">
        <f>IF(OR(M256="",O256=""),"VENCEDOR J10",IF(M256&gt;O256,E254,P254))</f>
        <v>Grajaú F.C.</v>
      </c>
      <c r="Q287" s="184"/>
      <c r="R287" s="184"/>
      <c r="S287" s="184"/>
      <c r="T287" s="184"/>
      <c r="U287" s="184"/>
      <c r="V287" s="184"/>
      <c r="W287" s="184"/>
      <c r="X287" s="184"/>
      <c r="Y287" s="184"/>
      <c r="Z287" s="184"/>
      <c r="AA287" s="184"/>
      <c r="AB287" s="184"/>
      <c r="AC287" s="184"/>
      <c r="AD287" s="185"/>
    </row>
    <row r="288" spans="4:30" ht="15.75" thickBot="1" x14ac:dyDescent="0.3">
      <c r="D288" s="208"/>
      <c r="E288" s="186"/>
      <c r="F288" s="187"/>
      <c r="G288" s="187"/>
      <c r="H288" s="187"/>
      <c r="I288" s="187"/>
      <c r="J288" s="187"/>
      <c r="K288" s="187"/>
      <c r="L288" s="188"/>
      <c r="M288" s="231">
        <v>45.17</v>
      </c>
      <c r="N288" s="112" t="s">
        <v>35</v>
      </c>
      <c r="O288" s="230">
        <v>65.67</v>
      </c>
      <c r="P288" s="186"/>
      <c r="Q288" s="187"/>
      <c r="R288" s="187"/>
      <c r="S288" s="187"/>
      <c r="T288" s="187"/>
      <c r="U288" s="187"/>
      <c r="V288" s="187"/>
      <c r="W288" s="187"/>
      <c r="X288" s="187"/>
      <c r="Y288" s="187"/>
      <c r="Z288" s="187"/>
      <c r="AA288" s="187"/>
      <c r="AB288" s="187"/>
      <c r="AC288" s="187"/>
      <c r="AD288" s="188"/>
    </row>
    <row r="289" spans="4:30" ht="15.75" thickBot="1" x14ac:dyDescent="0.3">
      <c r="D289" s="103"/>
      <c r="E289" s="103"/>
      <c r="F289" s="104"/>
      <c r="G289" s="104"/>
      <c r="H289" s="104"/>
      <c r="I289" s="104"/>
      <c r="J289" s="104"/>
      <c r="K289" s="104"/>
      <c r="L289" s="104"/>
      <c r="M289" s="86">
        <f>IF(OR(M288="",O288=""),"",SUM(M287:M288))</f>
        <v>96.300000000000011</v>
      </c>
      <c r="N289" s="76"/>
      <c r="O289" s="89">
        <f>IF(OR(M288="",O288=""),"",SUM(O287:O288))</f>
        <v>101.5</v>
      </c>
      <c r="P289" s="209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1"/>
    </row>
    <row r="290" spans="4:30" ht="15.75" thickBot="1" x14ac:dyDescent="0.3">
      <c r="D290" s="106"/>
      <c r="E290" s="106"/>
      <c r="F290" s="106"/>
      <c r="G290" s="106"/>
      <c r="H290" s="106"/>
      <c r="I290" s="106"/>
      <c r="J290" s="106"/>
      <c r="K290" s="106"/>
      <c r="L290" s="106"/>
      <c r="M290" s="110"/>
      <c r="N290" s="109"/>
      <c r="O290" s="108"/>
      <c r="P290" s="108"/>
      <c r="Q290" s="108"/>
      <c r="R290" s="108"/>
      <c r="S290" s="108"/>
      <c r="T290" s="108"/>
      <c r="U290" s="108"/>
      <c r="V290" s="108"/>
      <c r="W290" s="108"/>
      <c r="X290" s="108"/>
      <c r="Y290" s="108"/>
      <c r="Z290" s="108"/>
      <c r="AA290" s="108"/>
      <c r="AB290" s="108"/>
      <c r="AC290" s="108"/>
      <c r="AD290" s="108"/>
    </row>
    <row r="291" spans="4:30" x14ac:dyDescent="0.25">
      <c r="D291" s="192" t="s">
        <v>72</v>
      </c>
      <c r="E291" s="193"/>
      <c r="F291" s="193"/>
      <c r="G291" s="193"/>
      <c r="H291" s="193"/>
      <c r="I291" s="193"/>
      <c r="J291" s="193"/>
      <c r="K291" s="193"/>
      <c r="L291" s="193"/>
      <c r="M291" s="193"/>
      <c r="N291" s="193"/>
      <c r="O291" s="193"/>
      <c r="P291" s="193"/>
      <c r="Q291" s="193"/>
      <c r="R291" s="193"/>
      <c r="S291" s="193"/>
      <c r="T291" s="193"/>
      <c r="U291" s="193"/>
      <c r="V291" s="193"/>
      <c r="W291" s="193"/>
      <c r="X291" s="193"/>
      <c r="Y291" s="193"/>
      <c r="Z291" s="193"/>
      <c r="AA291" s="193"/>
      <c r="AB291" s="193"/>
      <c r="AC291" s="193"/>
      <c r="AD291" s="194"/>
    </row>
    <row r="292" spans="4:30" x14ac:dyDescent="0.25">
      <c r="D292" s="195"/>
      <c r="E292" s="196"/>
      <c r="F292" s="196"/>
      <c r="G292" s="196"/>
      <c r="H292" s="196"/>
      <c r="I292" s="196"/>
      <c r="J292" s="196"/>
      <c r="K292" s="196"/>
      <c r="L292" s="196"/>
      <c r="M292" s="196"/>
      <c r="N292" s="196"/>
      <c r="O292" s="196"/>
      <c r="P292" s="196"/>
      <c r="Q292" s="196"/>
      <c r="R292" s="196"/>
      <c r="S292" s="196"/>
      <c r="T292" s="196"/>
      <c r="U292" s="196"/>
      <c r="V292" s="196"/>
      <c r="W292" s="196"/>
      <c r="X292" s="196"/>
      <c r="Y292" s="196"/>
      <c r="Z292" s="196"/>
      <c r="AA292" s="196"/>
      <c r="AB292" s="196"/>
      <c r="AC292" s="196"/>
      <c r="AD292" s="197"/>
    </row>
    <row r="293" spans="4:30" ht="15.75" thickBot="1" x14ac:dyDescent="0.3">
      <c r="D293" s="198"/>
      <c r="E293" s="199"/>
      <c r="F293" s="199"/>
      <c r="G293" s="199"/>
      <c r="H293" s="199"/>
      <c r="I293" s="199"/>
      <c r="J293" s="199"/>
      <c r="K293" s="199"/>
      <c r="L293" s="199"/>
      <c r="M293" s="199"/>
      <c r="N293" s="199"/>
      <c r="O293" s="199"/>
      <c r="P293" s="199"/>
      <c r="Q293" s="199"/>
      <c r="R293" s="199"/>
      <c r="S293" s="199"/>
      <c r="T293" s="199"/>
      <c r="U293" s="199"/>
      <c r="V293" s="199"/>
      <c r="W293" s="199"/>
      <c r="X293" s="199"/>
      <c r="Y293" s="199"/>
      <c r="Z293" s="199"/>
      <c r="AA293" s="199"/>
      <c r="AB293" s="199"/>
      <c r="AC293" s="199"/>
      <c r="AD293" s="200"/>
    </row>
    <row r="294" spans="4:30" ht="15.75" customHeight="1" x14ac:dyDescent="0.25">
      <c r="D294" s="92"/>
      <c r="E294" s="93"/>
      <c r="F294" s="93"/>
      <c r="G294" s="93"/>
      <c r="H294" s="93"/>
      <c r="I294" s="93"/>
      <c r="J294" s="93"/>
      <c r="K294" s="201" t="s">
        <v>44</v>
      </c>
      <c r="L294" s="202"/>
      <c r="M294" s="202"/>
      <c r="N294" s="202"/>
      <c r="O294" s="202"/>
      <c r="P294" s="202"/>
      <c r="Q294" s="202"/>
      <c r="R294" s="203"/>
      <c r="S294" s="93"/>
      <c r="T294" s="93"/>
      <c r="U294" s="93"/>
      <c r="V294" s="93"/>
      <c r="W294" s="93"/>
      <c r="X294" s="93"/>
      <c r="Y294" s="93"/>
      <c r="Z294" s="93"/>
      <c r="AA294" s="93"/>
      <c r="AB294" s="93"/>
      <c r="AC294" s="93"/>
      <c r="AD294" s="94"/>
    </row>
    <row r="295" spans="4:30" ht="17.25" customHeight="1" thickBot="1" x14ac:dyDescent="0.3">
      <c r="D295" s="92"/>
      <c r="E295" s="93"/>
      <c r="F295" s="93"/>
      <c r="G295" s="93"/>
      <c r="H295" s="93"/>
      <c r="I295" s="93"/>
      <c r="J295" s="93"/>
      <c r="K295" s="204"/>
      <c r="L295" s="205"/>
      <c r="M295" s="205"/>
      <c r="N295" s="205"/>
      <c r="O295" s="205"/>
      <c r="P295" s="205"/>
      <c r="Q295" s="205"/>
      <c r="R295" s="206"/>
      <c r="S295" s="93"/>
      <c r="T295" s="93"/>
      <c r="U295" s="93"/>
      <c r="V295" s="93"/>
      <c r="W295" s="93"/>
      <c r="X295" s="93"/>
      <c r="Y295" s="93"/>
      <c r="Z295" s="93"/>
      <c r="AA295" s="93"/>
      <c r="AB295" s="93"/>
      <c r="AC295" s="93"/>
      <c r="AD295" s="94"/>
    </row>
    <row r="296" spans="4:30" x14ac:dyDescent="0.25">
      <c r="D296" s="207" t="s">
        <v>73</v>
      </c>
      <c r="E296" s="183" t="str">
        <f>IF(OR(M265="",O265=""),"PERDEDOR J11",IF(M265&lt;O265,E263,P263))</f>
        <v>ManchesterUrubu City</v>
      </c>
      <c r="F296" s="184"/>
      <c r="G296" s="184"/>
      <c r="H296" s="184"/>
      <c r="I296" s="184"/>
      <c r="J296" s="184"/>
      <c r="K296" s="184"/>
      <c r="L296" s="185"/>
      <c r="M296" s="131">
        <v>32.19</v>
      </c>
      <c r="N296" s="111" t="s">
        <v>35</v>
      </c>
      <c r="O296" s="128">
        <v>32.69</v>
      </c>
      <c r="P296" s="183" t="str">
        <f>IF(OR(M268="",O268=""),"PERDEDOR J12",IF(M268&lt;O268,E266,P266))</f>
        <v xml:space="preserve">Real Grotinha United </v>
      </c>
      <c r="Q296" s="184"/>
      <c r="R296" s="184"/>
      <c r="S296" s="184"/>
      <c r="T296" s="184"/>
      <c r="U296" s="184"/>
      <c r="V296" s="184"/>
      <c r="W296" s="184"/>
      <c r="X296" s="184"/>
      <c r="Y296" s="184"/>
      <c r="Z296" s="184"/>
      <c r="AA296" s="184"/>
      <c r="AB296" s="184"/>
      <c r="AC296" s="184"/>
      <c r="AD296" s="185"/>
    </row>
    <row r="297" spans="4:30" ht="15.75" thickBot="1" x14ac:dyDescent="0.3">
      <c r="D297" s="208"/>
      <c r="E297" s="186"/>
      <c r="F297" s="187"/>
      <c r="G297" s="187"/>
      <c r="H297" s="187"/>
      <c r="I297" s="187"/>
      <c r="J297" s="187"/>
      <c r="K297" s="187"/>
      <c r="L297" s="188"/>
      <c r="M297" s="228">
        <v>68.67</v>
      </c>
      <c r="N297" s="112" t="s">
        <v>35</v>
      </c>
      <c r="O297" s="232">
        <v>43.97</v>
      </c>
      <c r="P297" s="186"/>
      <c r="Q297" s="187"/>
      <c r="R297" s="187"/>
      <c r="S297" s="187"/>
      <c r="T297" s="187"/>
      <c r="U297" s="187"/>
      <c r="V297" s="187"/>
      <c r="W297" s="187"/>
      <c r="X297" s="187"/>
      <c r="Y297" s="187"/>
      <c r="Z297" s="187"/>
      <c r="AA297" s="187"/>
      <c r="AB297" s="187"/>
      <c r="AC297" s="187"/>
      <c r="AD297" s="188"/>
    </row>
    <row r="298" spans="4:30" ht="15.75" thickBot="1" x14ac:dyDescent="0.3">
      <c r="D298" s="103"/>
      <c r="E298" s="103"/>
      <c r="F298" s="104"/>
      <c r="G298" s="104"/>
      <c r="H298" s="104"/>
      <c r="I298" s="104"/>
      <c r="J298" s="104"/>
      <c r="K298" s="104"/>
      <c r="L298" s="104"/>
      <c r="M298" s="229">
        <f>IF(OR(M297="",O297=""),"",SUM(M296:M297))</f>
        <v>100.86</v>
      </c>
      <c r="N298" s="113"/>
      <c r="O298" s="233">
        <f>IF(OR(M297="",O297=""),"",SUM(O296:O297))</f>
        <v>76.66</v>
      </c>
      <c r="P298" s="209"/>
      <c r="Q298" s="210"/>
      <c r="R298" s="210"/>
      <c r="S298" s="210"/>
      <c r="T298" s="210"/>
      <c r="U298" s="210"/>
      <c r="V298" s="210"/>
      <c r="W298" s="210"/>
      <c r="X298" s="210"/>
      <c r="Y298" s="210"/>
      <c r="Z298" s="210"/>
      <c r="AA298" s="210"/>
      <c r="AB298" s="210"/>
      <c r="AC298" s="210"/>
      <c r="AD298" s="211"/>
    </row>
    <row r="299" spans="4:30" ht="15.75" thickBot="1" x14ac:dyDescent="0.3">
      <c r="D299" s="106"/>
      <c r="E299" s="106"/>
      <c r="F299" s="106"/>
      <c r="G299" s="106"/>
      <c r="H299" s="106"/>
      <c r="I299" s="106"/>
      <c r="J299" s="106"/>
      <c r="K299" s="106"/>
      <c r="L299" s="106"/>
      <c r="M299" s="110"/>
      <c r="N299" s="109"/>
      <c r="O299" s="108"/>
      <c r="P299" s="108"/>
      <c r="Q299" s="108"/>
      <c r="R299" s="108"/>
      <c r="S299" s="108"/>
      <c r="T299" s="108"/>
      <c r="U299" s="108"/>
      <c r="V299" s="108"/>
      <c r="W299" s="108"/>
      <c r="X299" s="108"/>
      <c r="Y299" s="108"/>
      <c r="Z299" s="108"/>
      <c r="AA299" s="108"/>
      <c r="AB299" s="108"/>
      <c r="AC299" s="108"/>
      <c r="AD299" s="108"/>
    </row>
    <row r="300" spans="4:30" x14ac:dyDescent="0.25">
      <c r="D300" s="192" t="s">
        <v>66</v>
      </c>
      <c r="E300" s="193"/>
      <c r="F300" s="193"/>
      <c r="G300" s="193"/>
      <c r="H300" s="193"/>
      <c r="I300" s="193"/>
      <c r="J300" s="193"/>
      <c r="K300" s="193"/>
      <c r="L300" s="193"/>
      <c r="M300" s="193"/>
      <c r="N300" s="193"/>
      <c r="O300" s="193"/>
      <c r="P300" s="193"/>
      <c r="Q300" s="193"/>
      <c r="R300" s="193"/>
      <c r="S300" s="193"/>
      <c r="T300" s="193"/>
      <c r="U300" s="193"/>
      <c r="V300" s="193"/>
      <c r="W300" s="193"/>
      <c r="X300" s="193"/>
      <c r="Y300" s="193"/>
      <c r="Z300" s="193"/>
      <c r="AA300" s="193"/>
      <c r="AB300" s="193"/>
      <c r="AC300" s="193"/>
      <c r="AD300" s="194"/>
    </row>
    <row r="301" spans="4:30" x14ac:dyDescent="0.25">
      <c r="D301" s="195"/>
      <c r="E301" s="196"/>
      <c r="F301" s="196"/>
      <c r="G301" s="196"/>
      <c r="H301" s="196"/>
      <c r="I301" s="196"/>
      <c r="J301" s="196"/>
      <c r="K301" s="196"/>
      <c r="L301" s="196"/>
      <c r="M301" s="196"/>
      <c r="N301" s="196"/>
      <c r="O301" s="196"/>
      <c r="P301" s="196"/>
      <c r="Q301" s="196"/>
      <c r="R301" s="196"/>
      <c r="S301" s="196"/>
      <c r="T301" s="196"/>
      <c r="U301" s="196"/>
      <c r="V301" s="196"/>
      <c r="W301" s="196"/>
      <c r="X301" s="196"/>
      <c r="Y301" s="196"/>
      <c r="Z301" s="196"/>
      <c r="AA301" s="196"/>
      <c r="AB301" s="196"/>
      <c r="AC301" s="196"/>
      <c r="AD301" s="197"/>
    </row>
    <row r="302" spans="4:30" ht="15.75" thickBot="1" x14ac:dyDescent="0.3">
      <c r="D302" s="198"/>
      <c r="E302" s="199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  <c r="Z302" s="199"/>
      <c r="AA302" s="199"/>
      <c r="AB302" s="199"/>
      <c r="AC302" s="199"/>
      <c r="AD302" s="200"/>
    </row>
    <row r="303" spans="4:30" ht="18" customHeight="1" x14ac:dyDescent="0.25">
      <c r="D303" s="92"/>
      <c r="E303" s="93"/>
      <c r="F303" s="93"/>
      <c r="G303" s="93"/>
      <c r="H303" s="93"/>
      <c r="I303" s="93"/>
      <c r="J303" s="93"/>
      <c r="K303" s="201" t="s">
        <v>44</v>
      </c>
      <c r="L303" s="202"/>
      <c r="M303" s="202"/>
      <c r="N303" s="202"/>
      <c r="O303" s="202"/>
      <c r="P303" s="202"/>
      <c r="Q303" s="202"/>
      <c r="R303" s="203"/>
      <c r="S303" s="93"/>
      <c r="T303" s="93"/>
      <c r="U303" s="93"/>
      <c r="V303" s="93"/>
      <c r="W303" s="93"/>
      <c r="X303" s="93"/>
      <c r="Y303" s="93"/>
      <c r="Z303" s="93"/>
      <c r="AA303" s="93"/>
      <c r="AB303" s="93"/>
      <c r="AC303" s="93"/>
      <c r="AD303" s="94"/>
    </row>
    <row r="304" spans="4:30" ht="16.5" customHeight="1" thickBot="1" x14ac:dyDescent="0.3">
      <c r="D304" s="92"/>
      <c r="E304" s="93"/>
      <c r="F304" s="93"/>
      <c r="G304" s="93"/>
      <c r="H304" s="93"/>
      <c r="I304" s="93"/>
      <c r="J304" s="93"/>
      <c r="K304" s="204"/>
      <c r="L304" s="205"/>
      <c r="M304" s="205"/>
      <c r="N304" s="205"/>
      <c r="O304" s="205"/>
      <c r="P304" s="205"/>
      <c r="Q304" s="205"/>
      <c r="R304" s="206"/>
      <c r="S304" s="93"/>
      <c r="T304" s="93"/>
      <c r="U304" s="93"/>
      <c r="V304" s="93"/>
      <c r="W304" s="93"/>
      <c r="X304" s="93"/>
      <c r="Y304" s="93"/>
      <c r="Z304" s="93"/>
      <c r="AA304" s="93"/>
      <c r="AB304" s="93"/>
      <c r="AC304" s="93"/>
      <c r="AD304" s="94"/>
    </row>
    <row r="305" spans="4:30" x14ac:dyDescent="0.25">
      <c r="D305" s="207" t="s">
        <v>74</v>
      </c>
      <c r="E305" s="183" t="str">
        <f>IF(OR(M265="",O265=""),"VENCEDOR J11",IF(M265&gt;O265,E263,P263))</f>
        <v>Us Karas</v>
      </c>
      <c r="F305" s="184"/>
      <c r="G305" s="184"/>
      <c r="H305" s="184"/>
      <c r="I305" s="184"/>
      <c r="J305" s="184"/>
      <c r="K305" s="184"/>
      <c r="L305" s="185"/>
      <c r="M305" s="127">
        <v>32.79</v>
      </c>
      <c r="N305" s="111" t="s">
        <v>35</v>
      </c>
      <c r="O305" s="130">
        <v>28.99</v>
      </c>
      <c r="P305" s="183" t="str">
        <f>IF(OR(M268="",O268=""),"VENCEDOR J12",IF(M268&gt;O268,E266,P266))</f>
        <v>.In$a.Nyos.Br</v>
      </c>
      <c r="Q305" s="184"/>
      <c r="R305" s="184"/>
      <c r="S305" s="184"/>
      <c r="T305" s="184"/>
      <c r="U305" s="184"/>
      <c r="V305" s="184"/>
      <c r="W305" s="184"/>
      <c r="X305" s="184"/>
      <c r="Y305" s="184"/>
      <c r="Z305" s="184"/>
      <c r="AA305" s="184"/>
      <c r="AB305" s="184"/>
      <c r="AC305" s="184"/>
      <c r="AD305" s="185"/>
    </row>
    <row r="306" spans="4:30" ht="15.75" thickBot="1" x14ac:dyDescent="0.3">
      <c r="D306" s="208"/>
      <c r="E306" s="186"/>
      <c r="F306" s="187"/>
      <c r="G306" s="187"/>
      <c r="H306" s="187"/>
      <c r="I306" s="187"/>
      <c r="J306" s="187"/>
      <c r="K306" s="187"/>
      <c r="L306" s="188"/>
      <c r="M306" s="231">
        <v>59.47</v>
      </c>
      <c r="N306" s="112" t="s">
        <v>35</v>
      </c>
      <c r="O306" s="230">
        <v>64.97</v>
      </c>
      <c r="P306" s="186"/>
      <c r="Q306" s="187"/>
      <c r="R306" s="187"/>
      <c r="S306" s="187"/>
      <c r="T306" s="187"/>
      <c r="U306" s="187"/>
      <c r="V306" s="187"/>
      <c r="W306" s="187"/>
      <c r="X306" s="187"/>
      <c r="Y306" s="187"/>
      <c r="Z306" s="187"/>
      <c r="AA306" s="187"/>
      <c r="AB306" s="187"/>
      <c r="AC306" s="187"/>
      <c r="AD306" s="188"/>
    </row>
    <row r="307" spans="4:30" ht="15.75" thickBot="1" x14ac:dyDescent="0.3">
      <c r="D307" s="103"/>
      <c r="E307" s="103"/>
      <c r="F307" s="104"/>
      <c r="G307" s="104"/>
      <c r="H307" s="104"/>
      <c r="I307" s="104"/>
      <c r="J307" s="104"/>
      <c r="K307" s="104"/>
      <c r="L307" s="104"/>
      <c r="M307" s="234">
        <f>IF(OR(M306="",O306=""),"",SUM(M305:M306))</f>
        <v>92.259999999999991</v>
      </c>
      <c r="N307" s="113"/>
      <c r="O307" s="227">
        <f>IF(OR(M306="",O306=""),"",SUM(O305:O306))</f>
        <v>93.96</v>
      </c>
      <c r="P307" s="209"/>
      <c r="Q307" s="210"/>
      <c r="R307" s="210"/>
      <c r="S307" s="210"/>
      <c r="T307" s="210"/>
      <c r="U307" s="210"/>
      <c r="V307" s="210"/>
      <c r="W307" s="210"/>
      <c r="X307" s="210"/>
      <c r="Y307" s="210"/>
      <c r="Z307" s="210"/>
      <c r="AA307" s="210"/>
      <c r="AB307" s="210"/>
      <c r="AC307" s="210"/>
      <c r="AD307" s="211"/>
    </row>
    <row r="308" spans="4:30" ht="15.75" thickBot="1" x14ac:dyDescent="0.3"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</row>
    <row r="309" spans="4:30" x14ac:dyDescent="0.25">
      <c r="D309" s="192" t="s">
        <v>43</v>
      </c>
      <c r="E309" s="193"/>
      <c r="F309" s="193"/>
      <c r="G309" s="193"/>
      <c r="H309" s="193"/>
      <c r="I309" s="193"/>
      <c r="J309" s="193"/>
      <c r="K309" s="193"/>
      <c r="L309" s="193"/>
      <c r="M309" s="193"/>
      <c r="N309" s="193"/>
      <c r="O309" s="193"/>
      <c r="P309" s="193"/>
      <c r="Q309" s="193"/>
      <c r="R309" s="193"/>
      <c r="S309" s="193"/>
      <c r="T309" s="193"/>
      <c r="U309" s="193"/>
      <c r="V309" s="193"/>
      <c r="W309" s="193"/>
      <c r="X309" s="193"/>
      <c r="Y309" s="193"/>
      <c r="Z309" s="193"/>
      <c r="AA309" s="193"/>
      <c r="AB309" s="193"/>
      <c r="AC309" s="193"/>
      <c r="AD309" s="194"/>
    </row>
    <row r="310" spans="4:30" x14ac:dyDescent="0.25">
      <c r="D310" s="195"/>
      <c r="E310" s="196"/>
      <c r="F310" s="196"/>
      <c r="G310" s="196"/>
      <c r="H310" s="196"/>
      <c r="I310" s="196"/>
      <c r="J310" s="196"/>
      <c r="K310" s="196"/>
      <c r="L310" s="196"/>
      <c r="M310" s="196"/>
      <c r="N310" s="196"/>
      <c r="O310" s="196"/>
      <c r="P310" s="196"/>
      <c r="Q310" s="196"/>
      <c r="R310" s="196"/>
      <c r="S310" s="196"/>
      <c r="T310" s="196"/>
      <c r="U310" s="196"/>
      <c r="V310" s="196"/>
      <c r="W310" s="196"/>
      <c r="X310" s="196"/>
      <c r="Y310" s="196"/>
      <c r="Z310" s="196"/>
      <c r="AA310" s="196"/>
      <c r="AB310" s="196"/>
      <c r="AC310" s="196"/>
      <c r="AD310" s="197"/>
    </row>
    <row r="311" spans="4:30" ht="15.75" thickBot="1" x14ac:dyDescent="0.3">
      <c r="D311" s="198"/>
      <c r="E311" s="199"/>
      <c r="F311" s="199"/>
      <c r="G311" s="199"/>
      <c r="H311" s="199"/>
      <c r="I311" s="199"/>
      <c r="J311" s="199"/>
      <c r="K311" s="199"/>
      <c r="L311" s="199"/>
      <c r="M311" s="199"/>
      <c r="N311" s="199"/>
      <c r="O311" s="199"/>
      <c r="P311" s="199"/>
      <c r="Q311" s="199"/>
      <c r="R311" s="199"/>
      <c r="S311" s="199"/>
      <c r="T311" s="199"/>
      <c r="U311" s="199"/>
      <c r="V311" s="199"/>
      <c r="W311" s="199"/>
      <c r="X311" s="199"/>
      <c r="Y311" s="199"/>
      <c r="Z311" s="199"/>
      <c r="AA311" s="199"/>
      <c r="AB311" s="199"/>
      <c r="AC311" s="199"/>
      <c r="AD311" s="200"/>
    </row>
    <row r="312" spans="4:30" ht="19.5" customHeight="1" x14ac:dyDescent="0.25">
      <c r="D312" s="92"/>
      <c r="E312" s="93"/>
      <c r="F312" s="93"/>
      <c r="G312" s="93"/>
      <c r="H312" s="93"/>
      <c r="I312" s="93"/>
      <c r="J312" s="93"/>
      <c r="K312" s="201" t="s">
        <v>44</v>
      </c>
      <c r="L312" s="202"/>
      <c r="M312" s="202"/>
      <c r="N312" s="202"/>
      <c r="O312" s="202"/>
      <c r="P312" s="202"/>
      <c r="Q312" s="202"/>
      <c r="R312" s="203"/>
      <c r="S312" s="93"/>
      <c r="T312" s="93"/>
      <c r="U312" s="93"/>
      <c r="V312" s="93"/>
      <c r="W312" s="93"/>
      <c r="X312" s="93"/>
      <c r="Y312" s="93"/>
      <c r="Z312" s="93"/>
      <c r="AA312" s="93"/>
      <c r="AB312" s="93"/>
      <c r="AC312" s="93"/>
      <c r="AD312" s="94"/>
    </row>
    <row r="313" spans="4:30" ht="16.5" customHeight="1" thickBot="1" x14ac:dyDescent="0.3">
      <c r="D313" s="92"/>
      <c r="E313" s="93"/>
      <c r="F313" s="93"/>
      <c r="G313" s="93"/>
      <c r="H313" s="93"/>
      <c r="I313" s="93"/>
      <c r="J313" s="93"/>
      <c r="K313" s="204"/>
      <c r="L313" s="205"/>
      <c r="M313" s="205"/>
      <c r="N313" s="205"/>
      <c r="O313" s="205"/>
      <c r="P313" s="205"/>
      <c r="Q313" s="205"/>
      <c r="R313" s="206"/>
      <c r="S313" s="93"/>
      <c r="T313" s="93"/>
      <c r="U313" s="93"/>
      <c r="V313" s="93"/>
      <c r="W313" s="93"/>
      <c r="X313" s="93"/>
      <c r="Y313" s="93"/>
      <c r="Z313" s="93"/>
      <c r="AA313" s="93"/>
      <c r="AB313" s="93"/>
      <c r="AC313" s="93"/>
      <c r="AD313" s="94"/>
    </row>
    <row r="314" spans="4:30" x14ac:dyDescent="0.25">
      <c r="D314" s="207" t="s">
        <v>75</v>
      </c>
      <c r="E314" s="183" t="str">
        <f>IF(OR(M277="",O277=""),"PERDEDOR J13",IF(M277&lt;O277,E275,P275))</f>
        <v xml:space="preserve">Botafogo Rocha </v>
      </c>
      <c r="F314" s="184"/>
      <c r="G314" s="184"/>
      <c r="H314" s="184"/>
      <c r="I314" s="184"/>
      <c r="J314" s="184"/>
      <c r="K314" s="184"/>
      <c r="L314" s="185"/>
      <c r="M314" s="131">
        <v>31.63</v>
      </c>
      <c r="N314" s="111" t="s">
        <v>35</v>
      </c>
      <c r="O314" s="128">
        <v>44.88</v>
      </c>
      <c r="P314" s="183" t="str">
        <f>IF(OR(M280="",O280=""),"PERDEDOR J14",IF(M280&lt;O280,E278,P278))</f>
        <v>Stars United C.F</v>
      </c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  <c r="AA314" s="184"/>
      <c r="AB314" s="184"/>
      <c r="AC314" s="184"/>
      <c r="AD314" s="185"/>
    </row>
    <row r="315" spans="4:30" ht="15.75" thickBot="1" x14ac:dyDescent="0.3">
      <c r="D315" s="208"/>
      <c r="E315" s="186"/>
      <c r="F315" s="187"/>
      <c r="G315" s="187"/>
      <c r="H315" s="187"/>
      <c r="I315" s="187"/>
      <c r="J315" s="187"/>
      <c r="K315" s="187"/>
      <c r="L315" s="188"/>
      <c r="M315" s="228">
        <v>84.64</v>
      </c>
      <c r="N315" s="112" t="s">
        <v>35</v>
      </c>
      <c r="O315" s="232">
        <v>64.489999999999995</v>
      </c>
      <c r="P315" s="186"/>
      <c r="Q315" s="187"/>
      <c r="R315" s="187"/>
      <c r="S315" s="187"/>
      <c r="T315" s="187"/>
      <c r="U315" s="187"/>
      <c r="V315" s="187"/>
      <c r="W315" s="187"/>
      <c r="X315" s="187"/>
      <c r="Y315" s="187"/>
      <c r="Z315" s="187"/>
      <c r="AA315" s="187"/>
      <c r="AB315" s="187"/>
      <c r="AC315" s="187"/>
      <c r="AD315" s="188"/>
    </row>
    <row r="316" spans="4:30" ht="15.75" thickBot="1" x14ac:dyDescent="0.3">
      <c r="D316" s="103"/>
      <c r="E316" s="103"/>
      <c r="F316" s="104"/>
      <c r="G316" s="104"/>
      <c r="H316" s="104"/>
      <c r="I316" s="104"/>
      <c r="J316" s="104"/>
      <c r="K316" s="104"/>
      <c r="L316" s="104"/>
      <c r="M316" s="229">
        <f>IF(OR(M315="",O315=""),"",SUM(M314:M315))</f>
        <v>116.27</v>
      </c>
      <c r="N316" s="113"/>
      <c r="O316" s="233">
        <f>IF(OR(M315="",O315=""),"",SUM(O314:O315))</f>
        <v>109.37</v>
      </c>
      <c r="P316" s="209"/>
      <c r="Q316" s="210"/>
      <c r="R316" s="210"/>
      <c r="S316" s="210"/>
      <c r="T316" s="210"/>
      <c r="U316" s="210"/>
      <c r="V316" s="210"/>
      <c r="W316" s="210"/>
      <c r="X316" s="210"/>
      <c r="Y316" s="210"/>
      <c r="Z316" s="210"/>
      <c r="AA316" s="210"/>
      <c r="AB316" s="210"/>
      <c r="AC316" s="210"/>
      <c r="AD316" s="211"/>
    </row>
    <row r="317" spans="4:30" ht="15.75" thickBot="1" x14ac:dyDescent="0.3"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</row>
    <row r="318" spans="4:30" x14ac:dyDescent="0.25">
      <c r="D318" s="192" t="s">
        <v>46</v>
      </c>
      <c r="E318" s="193"/>
      <c r="F318" s="193"/>
      <c r="G318" s="193"/>
      <c r="H318" s="193"/>
      <c r="I318" s="193"/>
      <c r="J318" s="193"/>
      <c r="K318" s="193"/>
      <c r="L318" s="193"/>
      <c r="M318" s="193"/>
      <c r="N318" s="193"/>
      <c r="O318" s="193"/>
      <c r="P318" s="193"/>
      <c r="Q318" s="193"/>
      <c r="R318" s="193"/>
      <c r="S318" s="193"/>
      <c r="T318" s="193"/>
      <c r="U318" s="193"/>
      <c r="V318" s="193"/>
      <c r="W318" s="193"/>
      <c r="X318" s="193"/>
      <c r="Y318" s="193"/>
      <c r="Z318" s="193"/>
      <c r="AA318" s="193"/>
      <c r="AB318" s="193"/>
      <c r="AC318" s="193"/>
      <c r="AD318" s="194"/>
    </row>
    <row r="319" spans="4:30" x14ac:dyDescent="0.25">
      <c r="D319" s="195"/>
      <c r="E319" s="196"/>
      <c r="F319" s="196"/>
      <c r="G319" s="196"/>
      <c r="H319" s="196"/>
      <c r="I319" s="196"/>
      <c r="J319" s="196"/>
      <c r="K319" s="196"/>
      <c r="L319" s="196"/>
      <c r="M319" s="196"/>
      <c r="N319" s="196"/>
      <c r="O319" s="196"/>
      <c r="P319" s="196"/>
      <c r="Q319" s="196"/>
      <c r="R319" s="196"/>
      <c r="S319" s="196"/>
      <c r="T319" s="196"/>
      <c r="U319" s="196"/>
      <c r="V319" s="196"/>
      <c r="W319" s="196"/>
      <c r="X319" s="196"/>
      <c r="Y319" s="196"/>
      <c r="Z319" s="196"/>
      <c r="AA319" s="196"/>
      <c r="AB319" s="196"/>
      <c r="AC319" s="196"/>
      <c r="AD319" s="197"/>
    </row>
    <row r="320" spans="4:30" ht="15.75" thickBot="1" x14ac:dyDescent="0.3">
      <c r="D320" s="198"/>
      <c r="E320" s="199"/>
      <c r="F320" s="199"/>
      <c r="G320" s="199"/>
      <c r="H320" s="199"/>
      <c r="I320" s="199"/>
      <c r="J320" s="199"/>
      <c r="K320" s="199"/>
      <c r="L320" s="199"/>
      <c r="M320" s="199"/>
      <c r="N320" s="199"/>
      <c r="O320" s="199"/>
      <c r="P320" s="199"/>
      <c r="Q320" s="199"/>
      <c r="R320" s="199"/>
      <c r="S320" s="199"/>
      <c r="T320" s="199"/>
      <c r="U320" s="199"/>
      <c r="V320" s="199"/>
      <c r="W320" s="199"/>
      <c r="X320" s="199"/>
      <c r="Y320" s="199"/>
      <c r="Z320" s="199"/>
      <c r="AA320" s="199"/>
      <c r="AB320" s="199"/>
      <c r="AC320" s="199"/>
      <c r="AD320" s="200"/>
    </row>
    <row r="321" spans="4:30" ht="15" customHeight="1" x14ac:dyDescent="0.25">
      <c r="D321" s="114"/>
      <c r="E321" s="115"/>
      <c r="F321" s="115"/>
      <c r="G321" s="115"/>
      <c r="H321" s="115"/>
      <c r="I321" s="115"/>
      <c r="J321" s="116"/>
      <c r="K321" s="202" t="s">
        <v>44</v>
      </c>
      <c r="L321" s="202"/>
      <c r="M321" s="202"/>
      <c r="N321" s="202"/>
      <c r="O321" s="202"/>
      <c r="P321" s="202"/>
      <c r="Q321" s="202"/>
      <c r="R321" s="212"/>
      <c r="S321" s="93"/>
      <c r="T321" s="93"/>
      <c r="U321" s="93"/>
      <c r="V321" s="93"/>
      <c r="W321" s="93"/>
      <c r="X321" s="93"/>
      <c r="Y321" s="93"/>
      <c r="Z321" s="93"/>
      <c r="AA321" s="93"/>
      <c r="AB321" s="93"/>
      <c r="AC321" s="93"/>
      <c r="AD321" s="94"/>
    </row>
    <row r="322" spans="4:30" ht="16.5" customHeight="1" thickBot="1" x14ac:dyDescent="0.3">
      <c r="D322" s="117"/>
      <c r="E322" s="118"/>
      <c r="F322" s="118"/>
      <c r="G322" s="118"/>
      <c r="H322" s="118"/>
      <c r="I322" s="118"/>
      <c r="J322" s="119"/>
      <c r="K322" s="205"/>
      <c r="L322" s="205"/>
      <c r="M322" s="205"/>
      <c r="N322" s="205"/>
      <c r="O322" s="205"/>
      <c r="P322" s="205"/>
      <c r="Q322" s="205"/>
      <c r="R322" s="213"/>
      <c r="S322" s="93"/>
      <c r="T322" s="93"/>
      <c r="U322" s="93"/>
      <c r="V322" s="93"/>
      <c r="W322" s="93"/>
      <c r="X322" s="93"/>
      <c r="Y322" s="93"/>
      <c r="Z322" s="93"/>
      <c r="AA322" s="93"/>
      <c r="AB322" s="93"/>
      <c r="AC322" s="93"/>
      <c r="AD322" s="94"/>
    </row>
    <row r="323" spans="4:30" x14ac:dyDescent="0.25">
      <c r="D323" s="207" t="s">
        <v>76</v>
      </c>
      <c r="E323" s="183" t="str">
        <f>IF(OR(M280="",O280=""),"VENCEDOR J13",IF(M277&gt;O277,E275,P275))</f>
        <v xml:space="preserve">Tribe of Gypsies </v>
      </c>
      <c r="F323" s="184"/>
      <c r="G323" s="184"/>
      <c r="H323" s="184"/>
      <c r="I323" s="184"/>
      <c r="J323" s="184"/>
      <c r="K323" s="184"/>
      <c r="L323" s="185"/>
      <c r="M323" s="132">
        <v>31.02</v>
      </c>
      <c r="N323" s="111" t="s">
        <v>35</v>
      </c>
      <c r="O323" s="129">
        <v>40.99</v>
      </c>
      <c r="P323" s="183" t="str">
        <f>IF(OR(M280="",O280=""),"VENCEDOR J14",IF(M280&gt;O280,E278,P278))</f>
        <v xml:space="preserve">Engenheirense </v>
      </c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  <c r="AA323" s="184"/>
      <c r="AB323" s="184"/>
      <c r="AC323" s="184"/>
      <c r="AD323" s="185"/>
    </row>
    <row r="324" spans="4:30" ht="15.75" thickBot="1" x14ac:dyDescent="0.3">
      <c r="D324" s="208"/>
      <c r="E324" s="186"/>
      <c r="F324" s="187"/>
      <c r="G324" s="187"/>
      <c r="H324" s="187"/>
      <c r="I324" s="187"/>
      <c r="J324" s="187"/>
      <c r="K324" s="187"/>
      <c r="L324" s="188"/>
      <c r="M324" s="235">
        <v>48.74</v>
      </c>
      <c r="N324" s="112" t="s">
        <v>35</v>
      </c>
      <c r="O324" s="226">
        <v>54.37</v>
      </c>
      <c r="P324" s="186"/>
      <c r="Q324" s="187"/>
      <c r="R324" s="187"/>
      <c r="S324" s="187"/>
      <c r="T324" s="187"/>
      <c r="U324" s="187"/>
      <c r="V324" s="187"/>
      <c r="W324" s="187"/>
      <c r="X324" s="187"/>
      <c r="Y324" s="187"/>
      <c r="Z324" s="187"/>
      <c r="AA324" s="187"/>
      <c r="AB324" s="187"/>
      <c r="AC324" s="187"/>
      <c r="AD324" s="188"/>
    </row>
    <row r="325" spans="4:30" ht="15.75" thickBot="1" x14ac:dyDescent="0.3">
      <c r="D325" s="103"/>
      <c r="E325" s="103"/>
      <c r="F325" s="104"/>
      <c r="G325" s="104"/>
      <c r="H325" s="104"/>
      <c r="I325" s="104"/>
      <c r="J325" s="104"/>
      <c r="K325" s="104"/>
      <c r="L325" s="104"/>
      <c r="M325" s="236">
        <f>IF(OR(M324="",O324=""),"",SUM(M323:M324))</f>
        <v>79.760000000000005</v>
      </c>
      <c r="N325" s="120"/>
      <c r="O325" s="227">
        <f>IF(OR(M324="",O324=""),"",SUM(O323:O324))</f>
        <v>95.36</v>
      </c>
      <c r="P325" s="214"/>
      <c r="Q325" s="215"/>
      <c r="R325" s="215"/>
      <c r="S325" s="215"/>
      <c r="T325" s="215"/>
      <c r="U325" s="215"/>
      <c r="V325" s="215"/>
      <c r="W325" s="215"/>
      <c r="X325" s="215"/>
      <c r="Y325" s="215"/>
      <c r="Z325" s="215"/>
      <c r="AA325" s="215"/>
      <c r="AB325" s="215"/>
      <c r="AC325" s="215"/>
      <c r="AD325" s="216"/>
    </row>
    <row r="326" spans="4:30" ht="15.75" thickBot="1" x14ac:dyDescent="0.3"/>
    <row r="327" spans="4:30" ht="21" customHeight="1" x14ac:dyDescent="0.25">
      <c r="D327" s="237" t="str">
        <f>IF(OR(M325="",O325=""),"Campeão",IF(M325&gt;O325,E323,P323))</f>
        <v xml:space="preserve">Engenheirense </v>
      </c>
      <c r="E327" s="238"/>
      <c r="F327" s="238"/>
      <c r="G327" s="238"/>
      <c r="H327" s="238"/>
      <c r="I327" s="238"/>
      <c r="J327" s="238"/>
      <c r="K327" s="238"/>
      <c r="L327" s="239"/>
      <c r="M327" s="217" t="s">
        <v>84</v>
      </c>
      <c r="N327" s="218"/>
      <c r="O327" s="218"/>
      <c r="P327" s="218"/>
      <c r="Q327" s="218"/>
      <c r="R327" s="218"/>
      <c r="S327" s="218"/>
      <c r="T327" s="218"/>
      <c r="U327" s="218"/>
      <c r="V327" s="218"/>
      <c r="W327" s="218"/>
      <c r="X327" s="218"/>
      <c r="Y327" s="218"/>
      <c r="Z327" s="218"/>
      <c r="AA327" s="218"/>
      <c r="AB327" s="218"/>
      <c r="AC327" s="218"/>
      <c r="AD327" s="219"/>
    </row>
    <row r="328" spans="4:30" ht="21.75" customHeight="1" x14ac:dyDescent="0.25">
      <c r="D328" s="240"/>
      <c r="E328" s="241"/>
      <c r="F328" s="241"/>
      <c r="G328" s="241"/>
      <c r="H328" s="241"/>
      <c r="I328" s="241"/>
      <c r="J328" s="241"/>
      <c r="K328" s="241"/>
      <c r="L328" s="242"/>
      <c r="M328" s="220"/>
      <c r="N328" s="221"/>
      <c r="O328" s="221"/>
      <c r="P328" s="221"/>
      <c r="Q328" s="221"/>
      <c r="R328" s="221"/>
      <c r="S328" s="221"/>
      <c r="T328" s="221"/>
      <c r="U328" s="221"/>
      <c r="V328" s="221"/>
      <c r="W328" s="221"/>
      <c r="X328" s="221"/>
      <c r="Y328" s="221"/>
      <c r="Z328" s="221"/>
      <c r="AA328" s="221"/>
      <c r="AB328" s="221"/>
      <c r="AC328" s="221"/>
      <c r="AD328" s="222"/>
    </row>
    <row r="329" spans="4:30" ht="18.75" customHeight="1" x14ac:dyDescent="0.25">
      <c r="D329" s="240"/>
      <c r="E329" s="241"/>
      <c r="F329" s="241"/>
      <c r="G329" s="241"/>
      <c r="H329" s="241"/>
      <c r="I329" s="241"/>
      <c r="J329" s="241"/>
      <c r="K329" s="241"/>
      <c r="L329" s="242"/>
      <c r="M329" s="220"/>
      <c r="N329" s="221"/>
      <c r="O329" s="221"/>
      <c r="P329" s="221"/>
      <c r="Q329" s="221"/>
      <c r="R329" s="221"/>
      <c r="S329" s="221"/>
      <c r="T329" s="221"/>
      <c r="U329" s="221"/>
      <c r="V329" s="221"/>
      <c r="W329" s="221"/>
      <c r="X329" s="221"/>
      <c r="Y329" s="221"/>
      <c r="Z329" s="221"/>
      <c r="AA329" s="221"/>
      <c r="AB329" s="221"/>
      <c r="AC329" s="221"/>
      <c r="AD329" s="222"/>
    </row>
    <row r="330" spans="4:30" ht="24" customHeight="1" x14ac:dyDescent="0.25">
      <c r="D330" s="240"/>
      <c r="E330" s="241"/>
      <c r="F330" s="241"/>
      <c r="G330" s="241"/>
      <c r="H330" s="241"/>
      <c r="I330" s="241"/>
      <c r="J330" s="241"/>
      <c r="K330" s="241"/>
      <c r="L330" s="242"/>
      <c r="M330" s="220"/>
      <c r="N330" s="221"/>
      <c r="O330" s="221"/>
      <c r="P330" s="221"/>
      <c r="Q330" s="221"/>
      <c r="R330" s="221"/>
      <c r="S330" s="221"/>
      <c r="T330" s="221"/>
      <c r="U330" s="221"/>
      <c r="V330" s="221"/>
      <c r="W330" s="221"/>
      <c r="X330" s="221"/>
      <c r="Y330" s="221"/>
      <c r="Z330" s="221"/>
      <c r="AA330" s="221"/>
      <c r="AB330" s="221"/>
      <c r="AC330" s="221"/>
      <c r="AD330" s="222"/>
    </row>
    <row r="331" spans="4:30" ht="15" customHeight="1" x14ac:dyDescent="0.25">
      <c r="D331" s="240"/>
      <c r="E331" s="241"/>
      <c r="F331" s="241"/>
      <c r="G331" s="241"/>
      <c r="H331" s="241"/>
      <c r="I331" s="241"/>
      <c r="J331" s="241"/>
      <c r="K331" s="241"/>
      <c r="L331" s="242"/>
      <c r="M331" s="220"/>
      <c r="N331" s="221"/>
      <c r="O331" s="221"/>
      <c r="P331" s="221"/>
      <c r="Q331" s="221"/>
      <c r="R331" s="221"/>
      <c r="S331" s="221"/>
      <c r="T331" s="221"/>
      <c r="U331" s="221"/>
      <c r="V331" s="221"/>
      <c r="W331" s="221"/>
      <c r="X331" s="221"/>
      <c r="Y331" s="221"/>
      <c r="Z331" s="221"/>
      <c r="AA331" s="221"/>
      <c r="AB331" s="221"/>
      <c r="AC331" s="221"/>
      <c r="AD331" s="222"/>
    </row>
    <row r="332" spans="4:30" ht="21.75" customHeight="1" x14ac:dyDescent="0.25">
      <c r="D332" s="240"/>
      <c r="E332" s="241"/>
      <c r="F332" s="241"/>
      <c r="G332" s="241"/>
      <c r="H332" s="241"/>
      <c r="I332" s="241"/>
      <c r="J332" s="241"/>
      <c r="K332" s="241"/>
      <c r="L332" s="242"/>
      <c r="M332" s="220"/>
      <c r="N332" s="221"/>
      <c r="O332" s="221"/>
      <c r="P332" s="221"/>
      <c r="Q332" s="221"/>
      <c r="R332" s="221"/>
      <c r="S332" s="221"/>
      <c r="T332" s="221"/>
      <c r="U332" s="221"/>
      <c r="V332" s="221"/>
      <c r="W332" s="221"/>
      <c r="X332" s="221"/>
      <c r="Y332" s="221"/>
      <c r="Z332" s="221"/>
      <c r="AA332" s="221"/>
      <c r="AB332" s="221"/>
      <c r="AC332" s="221"/>
      <c r="AD332" s="222"/>
    </row>
    <row r="333" spans="4:30" ht="19.5" customHeight="1" x14ac:dyDescent="0.25">
      <c r="D333" s="240"/>
      <c r="E333" s="241"/>
      <c r="F333" s="241"/>
      <c r="G333" s="241"/>
      <c r="H333" s="241"/>
      <c r="I333" s="241"/>
      <c r="J333" s="241"/>
      <c r="K333" s="241"/>
      <c r="L333" s="242"/>
      <c r="M333" s="220"/>
      <c r="N333" s="221"/>
      <c r="O333" s="221"/>
      <c r="P333" s="221"/>
      <c r="Q333" s="221"/>
      <c r="R333" s="221"/>
      <c r="S333" s="221"/>
      <c r="T333" s="221"/>
      <c r="U333" s="221"/>
      <c r="V333" s="221"/>
      <c r="W333" s="221"/>
      <c r="X333" s="221"/>
      <c r="Y333" s="221"/>
      <c r="Z333" s="221"/>
      <c r="AA333" s="221"/>
      <c r="AB333" s="221"/>
      <c r="AC333" s="221"/>
      <c r="AD333" s="222"/>
    </row>
    <row r="334" spans="4:30" ht="18.75" customHeight="1" x14ac:dyDescent="0.25">
      <c r="D334" s="240"/>
      <c r="E334" s="241"/>
      <c r="F334" s="241"/>
      <c r="G334" s="241"/>
      <c r="H334" s="241"/>
      <c r="I334" s="241"/>
      <c r="J334" s="241"/>
      <c r="K334" s="241"/>
      <c r="L334" s="242"/>
      <c r="M334" s="220"/>
      <c r="N334" s="221"/>
      <c r="O334" s="221"/>
      <c r="P334" s="221"/>
      <c r="Q334" s="221"/>
      <c r="R334" s="221"/>
      <c r="S334" s="221"/>
      <c r="T334" s="221"/>
      <c r="U334" s="221"/>
      <c r="V334" s="221"/>
      <c r="W334" s="221"/>
      <c r="X334" s="221"/>
      <c r="Y334" s="221"/>
      <c r="Z334" s="221"/>
      <c r="AA334" s="221"/>
      <c r="AB334" s="221"/>
      <c r="AC334" s="221"/>
      <c r="AD334" s="222"/>
    </row>
    <row r="335" spans="4:30" ht="17.25" customHeight="1" x14ac:dyDescent="0.25">
      <c r="D335" s="240"/>
      <c r="E335" s="241"/>
      <c r="F335" s="241"/>
      <c r="G335" s="241"/>
      <c r="H335" s="241"/>
      <c r="I335" s="241"/>
      <c r="J335" s="241"/>
      <c r="K335" s="241"/>
      <c r="L335" s="242"/>
      <c r="M335" s="220"/>
      <c r="N335" s="221"/>
      <c r="O335" s="221"/>
      <c r="P335" s="221"/>
      <c r="Q335" s="221"/>
      <c r="R335" s="221"/>
      <c r="S335" s="221"/>
      <c r="T335" s="221"/>
      <c r="U335" s="221"/>
      <c r="V335" s="221"/>
      <c r="W335" s="221"/>
      <c r="X335" s="221"/>
      <c r="Y335" s="221"/>
      <c r="Z335" s="221"/>
      <c r="AA335" s="221"/>
      <c r="AB335" s="221"/>
      <c r="AC335" s="221"/>
      <c r="AD335" s="222"/>
    </row>
    <row r="336" spans="4:30" ht="21" customHeight="1" thickBot="1" x14ac:dyDescent="0.3">
      <c r="D336" s="243"/>
      <c r="E336" s="244"/>
      <c r="F336" s="244"/>
      <c r="G336" s="244"/>
      <c r="H336" s="244"/>
      <c r="I336" s="244"/>
      <c r="J336" s="244"/>
      <c r="K336" s="244"/>
      <c r="L336" s="245"/>
      <c r="M336" s="223"/>
      <c r="N336" s="224"/>
      <c r="O336" s="224"/>
      <c r="P336" s="224"/>
      <c r="Q336" s="224"/>
      <c r="R336" s="224"/>
      <c r="S336" s="224"/>
      <c r="T336" s="224"/>
      <c r="U336" s="224"/>
      <c r="V336" s="224"/>
      <c r="W336" s="224"/>
      <c r="X336" s="224"/>
      <c r="Y336" s="224"/>
      <c r="Z336" s="224"/>
      <c r="AA336" s="224"/>
      <c r="AB336" s="224"/>
      <c r="AC336" s="224"/>
      <c r="AD336" s="225"/>
    </row>
    <row r="337" spans="4:30" ht="17.25" customHeight="1" thickBot="1" x14ac:dyDescent="0.3">
      <c r="D337" s="51"/>
      <c r="E337" s="51"/>
      <c r="F337" s="51"/>
      <c r="G337" s="51"/>
      <c r="H337" s="51"/>
      <c r="I337" s="51"/>
      <c r="J337" s="51"/>
      <c r="K337" s="51"/>
    </row>
    <row r="338" spans="4:30" ht="21.75" customHeight="1" x14ac:dyDescent="0.25">
      <c r="D338" s="237" t="str">
        <f>IF(OR(M325="",O325=""),"VICE",IF(M325&lt;O325,E323,P323))</f>
        <v xml:space="preserve">Tribe of Gypsies </v>
      </c>
      <c r="E338" s="238"/>
      <c r="F338" s="238"/>
      <c r="G338" s="238"/>
      <c r="H338" s="238"/>
      <c r="I338" s="238"/>
      <c r="J338" s="238"/>
      <c r="K338" s="238"/>
      <c r="L338" s="239"/>
      <c r="M338" s="217" t="s">
        <v>85</v>
      </c>
      <c r="N338" s="218"/>
      <c r="O338" s="218"/>
      <c r="P338" s="218"/>
      <c r="Q338" s="218"/>
      <c r="R338" s="218"/>
      <c r="S338" s="218"/>
      <c r="T338" s="218"/>
      <c r="U338" s="218"/>
      <c r="V338" s="218"/>
      <c r="W338" s="218"/>
      <c r="X338" s="218"/>
      <c r="Y338" s="218"/>
      <c r="Z338" s="218"/>
      <c r="AA338" s="218"/>
      <c r="AB338" s="218"/>
      <c r="AC338" s="218"/>
      <c r="AD338" s="219"/>
    </row>
    <row r="339" spans="4:30" ht="21" customHeight="1" x14ac:dyDescent="0.25">
      <c r="D339" s="240"/>
      <c r="E339" s="241"/>
      <c r="F339" s="241"/>
      <c r="G339" s="241"/>
      <c r="H339" s="241"/>
      <c r="I339" s="241"/>
      <c r="J339" s="241"/>
      <c r="K339" s="241"/>
      <c r="L339" s="242"/>
      <c r="M339" s="220"/>
      <c r="N339" s="221"/>
      <c r="O339" s="221"/>
      <c r="P339" s="221"/>
      <c r="Q339" s="221"/>
      <c r="R339" s="221"/>
      <c r="S339" s="221"/>
      <c r="T339" s="221"/>
      <c r="U339" s="221"/>
      <c r="V339" s="221"/>
      <c r="W339" s="221"/>
      <c r="X339" s="221"/>
      <c r="Y339" s="221"/>
      <c r="Z339" s="221"/>
      <c r="AA339" s="221"/>
      <c r="AB339" s="221"/>
      <c r="AC339" s="221"/>
      <c r="AD339" s="222"/>
    </row>
    <row r="340" spans="4:30" ht="21" customHeight="1" x14ac:dyDescent="0.25">
      <c r="D340" s="240"/>
      <c r="E340" s="241"/>
      <c r="F340" s="241"/>
      <c r="G340" s="241"/>
      <c r="H340" s="241"/>
      <c r="I340" s="241"/>
      <c r="J340" s="241"/>
      <c r="K340" s="241"/>
      <c r="L340" s="242"/>
      <c r="M340" s="220"/>
      <c r="N340" s="221"/>
      <c r="O340" s="221"/>
      <c r="P340" s="221"/>
      <c r="Q340" s="221"/>
      <c r="R340" s="221"/>
      <c r="S340" s="221"/>
      <c r="T340" s="221"/>
      <c r="U340" s="221"/>
      <c r="V340" s="221"/>
      <c r="W340" s="221"/>
      <c r="X340" s="221"/>
      <c r="Y340" s="221"/>
      <c r="Z340" s="221"/>
      <c r="AA340" s="221"/>
      <c r="AB340" s="221"/>
      <c r="AC340" s="221"/>
      <c r="AD340" s="222"/>
    </row>
    <row r="341" spans="4:30" ht="18" customHeight="1" x14ac:dyDescent="0.25">
      <c r="D341" s="240"/>
      <c r="E341" s="241"/>
      <c r="F341" s="241"/>
      <c r="G341" s="241"/>
      <c r="H341" s="241"/>
      <c r="I341" s="241"/>
      <c r="J341" s="241"/>
      <c r="K341" s="241"/>
      <c r="L341" s="242"/>
      <c r="M341" s="220"/>
      <c r="N341" s="221"/>
      <c r="O341" s="221"/>
      <c r="P341" s="221"/>
      <c r="Q341" s="221"/>
      <c r="R341" s="221"/>
      <c r="S341" s="221"/>
      <c r="T341" s="221"/>
      <c r="U341" s="221"/>
      <c r="V341" s="221"/>
      <c r="W341" s="221"/>
      <c r="X341" s="221"/>
      <c r="Y341" s="221"/>
      <c r="Z341" s="221"/>
      <c r="AA341" s="221"/>
      <c r="AB341" s="221"/>
      <c r="AC341" s="221"/>
      <c r="AD341" s="222"/>
    </row>
    <row r="342" spans="4:30" x14ac:dyDescent="0.25">
      <c r="D342" s="240"/>
      <c r="E342" s="241"/>
      <c r="F342" s="241"/>
      <c r="G342" s="241"/>
      <c r="H342" s="241"/>
      <c r="I342" s="241"/>
      <c r="J342" s="241"/>
      <c r="K342" s="241"/>
      <c r="L342" s="242"/>
      <c r="M342" s="220"/>
      <c r="N342" s="221"/>
      <c r="O342" s="221"/>
      <c r="P342" s="221"/>
      <c r="Q342" s="221"/>
      <c r="R342" s="221"/>
      <c r="S342" s="221"/>
      <c r="T342" s="221"/>
      <c r="U342" s="221"/>
      <c r="V342" s="221"/>
      <c r="W342" s="221"/>
      <c r="X342" s="221"/>
      <c r="Y342" s="221"/>
      <c r="Z342" s="221"/>
      <c r="AA342" s="221"/>
      <c r="AB342" s="221"/>
      <c r="AC342" s="221"/>
      <c r="AD342" s="222"/>
    </row>
    <row r="343" spans="4:30" ht="19.5" customHeight="1" x14ac:dyDescent="0.25">
      <c r="D343" s="240"/>
      <c r="E343" s="241"/>
      <c r="F343" s="241"/>
      <c r="G343" s="241"/>
      <c r="H343" s="241"/>
      <c r="I343" s="241"/>
      <c r="J343" s="241"/>
      <c r="K343" s="241"/>
      <c r="L343" s="242"/>
      <c r="M343" s="220"/>
      <c r="N343" s="221"/>
      <c r="O343" s="221"/>
      <c r="P343" s="221"/>
      <c r="Q343" s="221"/>
      <c r="R343" s="221"/>
      <c r="S343" s="221"/>
      <c r="T343" s="221"/>
      <c r="U343" s="221"/>
      <c r="V343" s="221"/>
      <c r="W343" s="221"/>
      <c r="X343" s="221"/>
      <c r="Y343" s="221"/>
      <c r="Z343" s="221"/>
      <c r="AA343" s="221"/>
      <c r="AB343" s="221"/>
      <c r="AC343" s="221"/>
      <c r="AD343" s="222"/>
    </row>
    <row r="344" spans="4:30" ht="18.75" customHeight="1" x14ac:dyDescent="0.25">
      <c r="D344" s="240"/>
      <c r="E344" s="241"/>
      <c r="F344" s="241"/>
      <c r="G344" s="241"/>
      <c r="H344" s="241"/>
      <c r="I344" s="241"/>
      <c r="J344" s="241"/>
      <c r="K344" s="241"/>
      <c r="L344" s="242"/>
      <c r="M344" s="220"/>
      <c r="N344" s="221"/>
      <c r="O344" s="221"/>
      <c r="P344" s="221"/>
      <c r="Q344" s="221"/>
      <c r="R344" s="221"/>
      <c r="S344" s="221"/>
      <c r="T344" s="221"/>
      <c r="U344" s="221"/>
      <c r="V344" s="221"/>
      <c r="W344" s="221"/>
      <c r="X344" s="221"/>
      <c r="Y344" s="221"/>
      <c r="Z344" s="221"/>
      <c r="AA344" s="221"/>
      <c r="AB344" s="221"/>
      <c r="AC344" s="221"/>
      <c r="AD344" s="222"/>
    </row>
    <row r="345" spans="4:30" ht="15.75" customHeight="1" x14ac:dyDescent="0.25">
      <c r="D345" s="240"/>
      <c r="E345" s="241"/>
      <c r="F345" s="241"/>
      <c r="G345" s="241"/>
      <c r="H345" s="241"/>
      <c r="I345" s="241"/>
      <c r="J345" s="241"/>
      <c r="K345" s="241"/>
      <c r="L345" s="242"/>
      <c r="M345" s="220"/>
      <c r="N345" s="221"/>
      <c r="O345" s="221"/>
      <c r="P345" s="221"/>
      <c r="Q345" s="221"/>
      <c r="R345" s="221"/>
      <c r="S345" s="221"/>
      <c r="T345" s="221"/>
      <c r="U345" s="221"/>
      <c r="V345" s="221"/>
      <c r="W345" s="221"/>
      <c r="X345" s="221"/>
      <c r="Y345" s="221"/>
      <c r="Z345" s="221"/>
      <c r="AA345" s="221"/>
      <c r="AB345" s="221"/>
      <c r="AC345" s="221"/>
      <c r="AD345" s="222"/>
    </row>
    <row r="346" spans="4:30" ht="18" customHeight="1" x14ac:dyDescent="0.25">
      <c r="D346" s="240"/>
      <c r="E346" s="241"/>
      <c r="F346" s="241"/>
      <c r="G346" s="241"/>
      <c r="H346" s="241"/>
      <c r="I346" s="241"/>
      <c r="J346" s="241"/>
      <c r="K346" s="241"/>
      <c r="L346" s="242"/>
      <c r="M346" s="220"/>
      <c r="N346" s="221"/>
      <c r="O346" s="221"/>
      <c r="P346" s="221"/>
      <c r="Q346" s="221"/>
      <c r="R346" s="221"/>
      <c r="S346" s="221"/>
      <c r="T346" s="221"/>
      <c r="U346" s="221"/>
      <c r="V346" s="221"/>
      <c r="W346" s="221"/>
      <c r="X346" s="221"/>
      <c r="Y346" s="221"/>
      <c r="Z346" s="221"/>
      <c r="AA346" s="221"/>
      <c r="AB346" s="221"/>
      <c r="AC346" s="221"/>
      <c r="AD346" s="222"/>
    </row>
    <row r="347" spans="4:30" ht="20.25" customHeight="1" thickBot="1" x14ac:dyDescent="0.3">
      <c r="D347" s="243"/>
      <c r="E347" s="244"/>
      <c r="F347" s="244"/>
      <c r="G347" s="244"/>
      <c r="H347" s="244"/>
      <c r="I347" s="244"/>
      <c r="J347" s="244"/>
      <c r="K347" s="244"/>
      <c r="L347" s="245"/>
      <c r="M347" s="223"/>
      <c r="N347" s="224"/>
      <c r="O347" s="224"/>
      <c r="P347" s="224"/>
      <c r="Q347" s="224"/>
      <c r="R347" s="224"/>
      <c r="S347" s="224"/>
      <c r="T347" s="224"/>
      <c r="U347" s="224"/>
      <c r="V347" s="224"/>
      <c r="W347" s="224"/>
      <c r="X347" s="224"/>
      <c r="Y347" s="224"/>
      <c r="Z347" s="224"/>
      <c r="AA347" s="224"/>
      <c r="AB347" s="224"/>
      <c r="AC347" s="224"/>
      <c r="AD347" s="225"/>
    </row>
    <row r="348" spans="4:30" ht="19.5" customHeight="1" thickBot="1" x14ac:dyDescent="0.3">
      <c r="D348" s="51"/>
      <c r="E348" s="51"/>
      <c r="F348" s="51"/>
      <c r="G348" s="51"/>
      <c r="H348" s="51"/>
      <c r="I348" s="51"/>
      <c r="J348" s="51"/>
      <c r="K348" s="51"/>
    </row>
    <row r="349" spans="4:30" ht="18.75" customHeight="1" x14ac:dyDescent="0.25">
      <c r="D349" s="237" t="str">
        <f>IF(OR(M316="",O316=""),"3º Lugar",IF(M316&gt;O316,E314,P314))</f>
        <v xml:space="preserve">Botafogo Rocha </v>
      </c>
      <c r="E349" s="238"/>
      <c r="F349" s="238"/>
      <c r="G349" s="238"/>
      <c r="H349" s="238"/>
      <c r="I349" s="238"/>
      <c r="J349" s="238"/>
      <c r="K349" s="238"/>
      <c r="L349" s="239"/>
      <c r="M349" s="217" t="s">
        <v>87</v>
      </c>
      <c r="N349" s="218"/>
      <c r="O349" s="218"/>
      <c r="P349" s="218"/>
      <c r="Q349" s="218"/>
      <c r="R349" s="218"/>
      <c r="S349" s="218"/>
      <c r="T349" s="218"/>
      <c r="U349" s="218"/>
      <c r="V349" s="218"/>
      <c r="W349" s="218"/>
      <c r="X349" s="218"/>
      <c r="Y349" s="218"/>
      <c r="Z349" s="218"/>
      <c r="AA349" s="218"/>
      <c r="AB349" s="218"/>
      <c r="AC349" s="218"/>
      <c r="AD349" s="219"/>
    </row>
    <row r="350" spans="4:30" ht="18.75" customHeight="1" x14ac:dyDescent="0.25">
      <c r="D350" s="240"/>
      <c r="E350" s="241"/>
      <c r="F350" s="241"/>
      <c r="G350" s="241"/>
      <c r="H350" s="241"/>
      <c r="I350" s="241"/>
      <c r="J350" s="241"/>
      <c r="K350" s="241"/>
      <c r="L350" s="242"/>
      <c r="M350" s="220"/>
      <c r="N350" s="221"/>
      <c r="O350" s="221"/>
      <c r="P350" s="221"/>
      <c r="Q350" s="221"/>
      <c r="R350" s="221"/>
      <c r="S350" s="221"/>
      <c r="T350" s="221"/>
      <c r="U350" s="221"/>
      <c r="V350" s="221"/>
      <c r="W350" s="221"/>
      <c r="X350" s="221"/>
      <c r="Y350" s="221"/>
      <c r="Z350" s="221"/>
      <c r="AA350" s="221"/>
      <c r="AB350" s="221"/>
      <c r="AC350" s="221"/>
      <c r="AD350" s="222"/>
    </row>
    <row r="351" spans="4:30" ht="20.25" customHeight="1" x14ac:dyDescent="0.25">
      <c r="D351" s="240"/>
      <c r="E351" s="241"/>
      <c r="F351" s="241"/>
      <c r="G351" s="241"/>
      <c r="H351" s="241"/>
      <c r="I351" s="241"/>
      <c r="J351" s="241"/>
      <c r="K351" s="241"/>
      <c r="L351" s="242"/>
      <c r="M351" s="220"/>
      <c r="N351" s="221"/>
      <c r="O351" s="221"/>
      <c r="P351" s="221"/>
      <c r="Q351" s="221"/>
      <c r="R351" s="221"/>
      <c r="S351" s="221"/>
      <c r="T351" s="221"/>
      <c r="U351" s="221"/>
      <c r="V351" s="221"/>
      <c r="W351" s="221"/>
      <c r="X351" s="221"/>
      <c r="Y351" s="221"/>
      <c r="Z351" s="221"/>
      <c r="AA351" s="221"/>
      <c r="AB351" s="221"/>
      <c r="AC351" s="221"/>
      <c r="AD351" s="222"/>
    </row>
    <row r="352" spans="4:30" ht="21.75" customHeight="1" x14ac:dyDescent="0.25">
      <c r="D352" s="240"/>
      <c r="E352" s="241"/>
      <c r="F352" s="241"/>
      <c r="G352" s="241"/>
      <c r="H352" s="241"/>
      <c r="I352" s="241"/>
      <c r="J352" s="241"/>
      <c r="K352" s="241"/>
      <c r="L352" s="242"/>
      <c r="M352" s="220"/>
      <c r="N352" s="221"/>
      <c r="O352" s="221"/>
      <c r="P352" s="221"/>
      <c r="Q352" s="221"/>
      <c r="R352" s="221"/>
      <c r="S352" s="221"/>
      <c r="T352" s="221"/>
      <c r="U352" s="221"/>
      <c r="V352" s="221"/>
      <c r="W352" s="221"/>
      <c r="X352" s="221"/>
      <c r="Y352" s="221"/>
      <c r="Z352" s="221"/>
      <c r="AA352" s="221"/>
      <c r="AB352" s="221"/>
      <c r="AC352" s="221"/>
      <c r="AD352" s="222"/>
    </row>
    <row r="353" spans="4:30" customFormat="1" x14ac:dyDescent="0.25">
      <c r="D353" s="240"/>
      <c r="E353" s="241"/>
      <c r="F353" s="241"/>
      <c r="G353" s="241"/>
      <c r="H353" s="241"/>
      <c r="I353" s="241"/>
      <c r="J353" s="241"/>
      <c r="K353" s="241"/>
      <c r="L353" s="242"/>
      <c r="M353" s="220"/>
      <c r="N353" s="221"/>
      <c r="O353" s="221"/>
      <c r="P353" s="221"/>
      <c r="Q353" s="221"/>
      <c r="R353" s="221"/>
      <c r="S353" s="221"/>
      <c r="T353" s="221"/>
      <c r="U353" s="221"/>
      <c r="V353" s="221"/>
      <c r="W353" s="221"/>
      <c r="X353" s="221"/>
      <c r="Y353" s="221"/>
      <c r="Z353" s="221"/>
      <c r="AA353" s="221"/>
      <c r="AB353" s="221"/>
      <c r="AC353" s="221"/>
      <c r="AD353" s="222"/>
    </row>
    <row r="354" spans="4:30" customFormat="1" x14ac:dyDescent="0.25">
      <c r="D354" s="240"/>
      <c r="E354" s="241"/>
      <c r="F354" s="241"/>
      <c r="G354" s="241"/>
      <c r="H354" s="241"/>
      <c r="I354" s="241"/>
      <c r="J354" s="241"/>
      <c r="K354" s="241"/>
      <c r="L354" s="242"/>
      <c r="M354" s="220"/>
      <c r="N354" s="221"/>
      <c r="O354" s="221"/>
      <c r="P354" s="221"/>
      <c r="Q354" s="221"/>
      <c r="R354" s="221"/>
      <c r="S354" s="221"/>
      <c r="T354" s="221"/>
      <c r="U354" s="221"/>
      <c r="V354" s="221"/>
      <c r="W354" s="221"/>
      <c r="X354" s="221"/>
      <c r="Y354" s="221"/>
      <c r="Z354" s="221"/>
      <c r="AA354" s="221"/>
      <c r="AB354" s="221"/>
      <c r="AC354" s="221"/>
      <c r="AD354" s="222"/>
    </row>
    <row r="355" spans="4:30" customFormat="1" x14ac:dyDescent="0.25">
      <c r="D355" s="240"/>
      <c r="E355" s="241"/>
      <c r="F355" s="241"/>
      <c r="G355" s="241"/>
      <c r="H355" s="241"/>
      <c r="I355" s="241"/>
      <c r="J355" s="241"/>
      <c r="K355" s="241"/>
      <c r="L355" s="242"/>
      <c r="M355" s="220"/>
      <c r="N355" s="221"/>
      <c r="O355" s="221"/>
      <c r="P355" s="221"/>
      <c r="Q355" s="221"/>
      <c r="R355" s="221"/>
      <c r="S355" s="221"/>
      <c r="T355" s="221"/>
      <c r="U355" s="221"/>
      <c r="V355" s="221"/>
      <c r="W355" s="221"/>
      <c r="X355" s="221"/>
      <c r="Y355" s="221"/>
      <c r="Z355" s="221"/>
      <c r="AA355" s="221"/>
      <c r="AB355" s="221"/>
      <c r="AC355" s="221"/>
      <c r="AD355" s="222"/>
    </row>
    <row r="356" spans="4:30" customFormat="1" x14ac:dyDescent="0.25">
      <c r="D356" s="240"/>
      <c r="E356" s="241"/>
      <c r="F356" s="241"/>
      <c r="G356" s="241"/>
      <c r="H356" s="241"/>
      <c r="I356" s="241"/>
      <c r="J356" s="241"/>
      <c r="K356" s="241"/>
      <c r="L356" s="242"/>
      <c r="M356" s="220"/>
      <c r="N356" s="221"/>
      <c r="O356" s="221"/>
      <c r="P356" s="221"/>
      <c r="Q356" s="221"/>
      <c r="R356" s="221"/>
      <c r="S356" s="221"/>
      <c r="T356" s="221"/>
      <c r="U356" s="221"/>
      <c r="V356" s="221"/>
      <c r="W356" s="221"/>
      <c r="X356" s="221"/>
      <c r="Y356" s="221"/>
      <c r="Z356" s="221"/>
      <c r="AA356" s="221"/>
      <c r="AB356" s="221"/>
      <c r="AC356" s="221"/>
      <c r="AD356" s="222"/>
    </row>
    <row r="357" spans="4:30" customFormat="1" x14ac:dyDescent="0.25">
      <c r="D357" s="240"/>
      <c r="E357" s="241"/>
      <c r="F357" s="241"/>
      <c r="G357" s="241"/>
      <c r="H357" s="241"/>
      <c r="I357" s="241"/>
      <c r="J357" s="241"/>
      <c r="K357" s="241"/>
      <c r="L357" s="242"/>
      <c r="M357" s="220"/>
      <c r="N357" s="221"/>
      <c r="O357" s="221"/>
      <c r="P357" s="221"/>
      <c r="Q357" s="221"/>
      <c r="R357" s="221"/>
      <c r="S357" s="221"/>
      <c r="T357" s="221"/>
      <c r="U357" s="221"/>
      <c r="V357" s="221"/>
      <c r="W357" s="221"/>
      <c r="X357" s="221"/>
      <c r="Y357" s="221"/>
      <c r="Z357" s="221"/>
      <c r="AA357" s="221"/>
      <c r="AB357" s="221"/>
      <c r="AC357" s="221"/>
      <c r="AD357" s="222"/>
    </row>
    <row r="358" spans="4:30" customFormat="1" ht="15.75" thickBot="1" x14ac:dyDescent="0.3">
      <c r="D358" s="243"/>
      <c r="E358" s="244"/>
      <c r="F358" s="244"/>
      <c r="G358" s="244"/>
      <c r="H358" s="244"/>
      <c r="I358" s="244"/>
      <c r="J358" s="244"/>
      <c r="K358" s="244"/>
      <c r="L358" s="245"/>
      <c r="M358" s="223"/>
      <c r="N358" s="224"/>
      <c r="O358" s="224"/>
      <c r="P358" s="224"/>
      <c r="Q358" s="224"/>
      <c r="R358" s="224"/>
      <c r="S358" s="224"/>
      <c r="T358" s="224"/>
      <c r="U358" s="224"/>
      <c r="V358" s="224"/>
      <c r="W358" s="224"/>
      <c r="X358" s="224"/>
      <c r="Y358" s="224"/>
      <c r="Z358" s="224"/>
      <c r="AA358" s="224"/>
      <c r="AB358" s="224"/>
      <c r="AC358" s="224"/>
      <c r="AD358" s="225"/>
    </row>
    <row r="359" spans="4:30" customFormat="1" ht="15.75" thickBot="1" x14ac:dyDescent="0.3">
      <c r="D359" s="52"/>
      <c r="E359" s="52"/>
      <c r="F359" s="52"/>
      <c r="G359" s="52"/>
      <c r="H359" s="52"/>
      <c r="I359" s="52"/>
      <c r="J359" s="52"/>
      <c r="K359" s="52"/>
    </row>
    <row r="360" spans="4:30" customFormat="1" x14ac:dyDescent="0.25">
      <c r="D360" s="237" t="str">
        <f>IF(OR(M316="",O316=""),"4º Lugar",IF(M316&lt;O316,E314,P314))</f>
        <v>Stars United C.F</v>
      </c>
      <c r="E360" s="238"/>
      <c r="F360" s="238"/>
      <c r="G360" s="238"/>
      <c r="H360" s="238"/>
      <c r="I360" s="238"/>
      <c r="J360" s="238"/>
      <c r="K360" s="238"/>
      <c r="L360" s="239"/>
      <c r="M360" s="217" t="s">
        <v>82</v>
      </c>
      <c r="N360" s="218"/>
      <c r="O360" s="218"/>
      <c r="P360" s="218"/>
      <c r="Q360" s="218"/>
      <c r="R360" s="218"/>
      <c r="S360" s="218"/>
      <c r="T360" s="218"/>
      <c r="U360" s="218"/>
      <c r="V360" s="218"/>
      <c r="W360" s="218"/>
      <c r="X360" s="218"/>
      <c r="Y360" s="218"/>
      <c r="Z360" s="218"/>
      <c r="AA360" s="218"/>
      <c r="AB360" s="218"/>
      <c r="AC360" s="218"/>
      <c r="AD360" s="219"/>
    </row>
    <row r="361" spans="4:30" customFormat="1" x14ac:dyDescent="0.25">
      <c r="D361" s="240"/>
      <c r="E361" s="241"/>
      <c r="F361" s="241"/>
      <c r="G361" s="241"/>
      <c r="H361" s="241"/>
      <c r="I361" s="241"/>
      <c r="J361" s="241"/>
      <c r="K361" s="241"/>
      <c r="L361" s="242"/>
      <c r="M361" s="220"/>
      <c r="N361" s="221"/>
      <c r="O361" s="221"/>
      <c r="P361" s="221"/>
      <c r="Q361" s="221"/>
      <c r="R361" s="221"/>
      <c r="S361" s="221"/>
      <c r="T361" s="221"/>
      <c r="U361" s="221"/>
      <c r="V361" s="221"/>
      <c r="W361" s="221"/>
      <c r="X361" s="221"/>
      <c r="Y361" s="221"/>
      <c r="Z361" s="221"/>
      <c r="AA361" s="221"/>
      <c r="AB361" s="221"/>
      <c r="AC361" s="221"/>
      <c r="AD361" s="222"/>
    </row>
    <row r="362" spans="4:30" customFormat="1" x14ac:dyDescent="0.25">
      <c r="D362" s="240"/>
      <c r="E362" s="241"/>
      <c r="F362" s="241"/>
      <c r="G362" s="241"/>
      <c r="H362" s="241"/>
      <c r="I362" s="241"/>
      <c r="J362" s="241"/>
      <c r="K362" s="241"/>
      <c r="L362" s="242"/>
      <c r="M362" s="220"/>
      <c r="N362" s="221"/>
      <c r="O362" s="221"/>
      <c r="P362" s="221"/>
      <c r="Q362" s="221"/>
      <c r="R362" s="221"/>
      <c r="S362" s="221"/>
      <c r="T362" s="221"/>
      <c r="U362" s="221"/>
      <c r="V362" s="221"/>
      <c r="W362" s="221"/>
      <c r="X362" s="221"/>
      <c r="Y362" s="221"/>
      <c r="Z362" s="221"/>
      <c r="AA362" s="221"/>
      <c r="AB362" s="221"/>
      <c r="AC362" s="221"/>
      <c r="AD362" s="222"/>
    </row>
    <row r="363" spans="4:30" customFormat="1" x14ac:dyDescent="0.25">
      <c r="D363" s="240"/>
      <c r="E363" s="241"/>
      <c r="F363" s="241"/>
      <c r="G363" s="241"/>
      <c r="H363" s="241"/>
      <c r="I363" s="241"/>
      <c r="J363" s="241"/>
      <c r="K363" s="241"/>
      <c r="L363" s="242"/>
      <c r="M363" s="220"/>
      <c r="N363" s="221"/>
      <c r="O363" s="221"/>
      <c r="P363" s="221"/>
      <c r="Q363" s="221"/>
      <c r="R363" s="221"/>
      <c r="S363" s="221"/>
      <c r="T363" s="221"/>
      <c r="U363" s="221"/>
      <c r="V363" s="221"/>
      <c r="W363" s="221"/>
      <c r="X363" s="221"/>
      <c r="Y363" s="221"/>
      <c r="Z363" s="221"/>
      <c r="AA363" s="221"/>
      <c r="AB363" s="221"/>
      <c r="AC363" s="221"/>
      <c r="AD363" s="222"/>
    </row>
    <row r="364" spans="4:30" customFormat="1" x14ac:dyDescent="0.25">
      <c r="D364" s="240"/>
      <c r="E364" s="241"/>
      <c r="F364" s="241"/>
      <c r="G364" s="241"/>
      <c r="H364" s="241"/>
      <c r="I364" s="241"/>
      <c r="J364" s="241"/>
      <c r="K364" s="241"/>
      <c r="L364" s="242"/>
      <c r="M364" s="220"/>
      <c r="N364" s="221"/>
      <c r="O364" s="221"/>
      <c r="P364" s="221"/>
      <c r="Q364" s="221"/>
      <c r="R364" s="221"/>
      <c r="S364" s="221"/>
      <c r="T364" s="221"/>
      <c r="U364" s="221"/>
      <c r="V364" s="221"/>
      <c r="W364" s="221"/>
      <c r="X364" s="221"/>
      <c r="Y364" s="221"/>
      <c r="Z364" s="221"/>
      <c r="AA364" s="221"/>
      <c r="AB364" s="221"/>
      <c r="AC364" s="221"/>
      <c r="AD364" s="222"/>
    </row>
    <row r="365" spans="4:30" customFormat="1" x14ac:dyDescent="0.25">
      <c r="D365" s="240"/>
      <c r="E365" s="241"/>
      <c r="F365" s="241"/>
      <c r="G365" s="241"/>
      <c r="H365" s="241"/>
      <c r="I365" s="241"/>
      <c r="J365" s="241"/>
      <c r="K365" s="241"/>
      <c r="L365" s="242"/>
      <c r="M365" s="220"/>
      <c r="N365" s="221"/>
      <c r="O365" s="221"/>
      <c r="P365" s="221"/>
      <c r="Q365" s="221"/>
      <c r="R365" s="221"/>
      <c r="S365" s="221"/>
      <c r="T365" s="221"/>
      <c r="U365" s="221"/>
      <c r="V365" s="221"/>
      <c r="W365" s="221"/>
      <c r="X365" s="221"/>
      <c r="Y365" s="221"/>
      <c r="Z365" s="221"/>
      <c r="AA365" s="221"/>
      <c r="AB365" s="221"/>
      <c r="AC365" s="221"/>
      <c r="AD365" s="222"/>
    </row>
    <row r="366" spans="4:30" customFormat="1" x14ac:dyDescent="0.25">
      <c r="D366" s="240"/>
      <c r="E366" s="241"/>
      <c r="F366" s="241"/>
      <c r="G366" s="241"/>
      <c r="H366" s="241"/>
      <c r="I366" s="241"/>
      <c r="J366" s="241"/>
      <c r="K366" s="241"/>
      <c r="L366" s="242"/>
      <c r="M366" s="220"/>
      <c r="N366" s="221"/>
      <c r="O366" s="221"/>
      <c r="P366" s="221"/>
      <c r="Q366" s="221"/>
      <c r="R366" s="221"/>
      <c r="S366" s="221"/>
      <c r="T366" s="221"/>
      <c r="U366" s="221"/>
      <c r="V366" s="221"/>
      <c r="W366" s="221"/>
      <c r="X366" s="221"/>
      <c r="Y366" s="221"/>
      <c r="Z366" s="221"/>
      <c r="AA366" s="221"/>
      <c r="AB366" s="221"/>
      <c r="AC366" s="221"/>
      <c r="AD366" s="222"/>
    </row>
    <row r="367" spans="4:30" customFormat="1" x14ac:dyDescent="0.25">
      <c r="D367" s="240"/>
      <c r="E367" s="241"/>
      <c r="F367" s="241"/>
      <c r="G367" s="241"/>
      <c r="H367" s="241"/>
      <c r="I367" s="241"/>
      <c r="J367" s="241"/>
      <c r="K367" s="241"/>
      <c r="L367" s="242"/>
      <c r="M367" s="220"/>
      <c r="N367" s="221"/>
      <c r="O367" s="221"/>
      <c r="P367" s="221"/>
      <c r="Q367" s="221"/>
      <c r="R367" s="221"/>
      <c r="S367" s="221"/>
      <c r="T367" s="221"/>
      <c r="U367" s="221"/>
      <c r="V367" s="221"/>
      <c r="W367" s="221"/>
      <c r="X367" s="221"/>
      <c r="Y367" s="221"/>
      <c r="Z367" s="221"/>
      <c r="AA367" s="221"/>
      <c r="AB367" s="221"/>
      <c r="AC367" s="221"/>
      <c r="AD367" s="222"/>
    </row>
    <row r="368" spans="4:30" customFormat="1" x14ac:dyDescent="0.25">
      <c r="D368" s="240"/>
      <c r="E368" s="241"/>
      <c r="F368" s="241"/>
      <c r="G368" s="241"/>
      <c r="H368" s="241"/>
      <c r="I368" s="241"/>
      <c r="J368" s="241"/>
      <c r="K368" s="241"/>
      <c r="L368" s="242"/>
      <c r="M368" s="220"/>
      <c r="N368" s="221"/>
      <c r="O368" s="221"/>
      <c r="P368" s="221"/>
      <c r="Q368" s="221"/>
      <c r="R368" s="221"/>
      <c r="S368" s="221"/>
      <c r="T368" s="221"/>
      <c r="U368" s="221"/>
      <c r="V368" s="221"/>
      <c r="W368" s="221"/>
      <c r="X368" s="221"/>
      <c r="Y368" s="221"/>
      <c r="Z368" s="221"/>
      <c r="AA368" s="221"/>
      <c r="AB368" s="221"/>
      <c r="AC368" s="221"/>
      <c r="AD368" s="222"/>
    </row>
    <row r="369" spans="4:30" customFormat="1" ht="15.75" thickBot="1" x14ac:dyDescent="0.3">
      <c r="D369" s="243"/>
      <c r="E369" s="244"/>
      <c r="F369" s="244"/>
      <c r="G369" s="244"/>
      <c r="H369" s="244"/>
      <c r="I369" s="244"/>
      <c r="J369" s="244"/>
      <c r="K369" s="244"/>
      <c r="L369" s="245"/>
      <c r="M369" s="223"/>
      <c r="N369" s="224"/>
      <c r="O369" s="224"/>
      <c r="P369" s="224"/>
      <c r="Q369" s="224"/>
      <c r="R369" s="224"/>
      <c r="S369" s="224"/>
      <c r="T369" s="224"/>
      <c r="U369" s="224"/>
      <c r="V369" s="224"/>
      <c r="W369" s="224"/>
      <c r="X369" s="224"/>
      <c r="Y369" s="224"/>
      <c r="Z369" s="224"/>
      <c r="AA369" s="224"/>
      <c r="AB369" s="224"/>
      <c r="AC369" s="224"/>
      <c r="AD369" s="225"/>
    </row>
    <row r="370" spans="4:30" customFormat="1" ht="15.75" thickBot="1" x14ac:dyDescent="0.3">
      <c r="D370" s="52"/>
      <c r="E370" s="52"/>
      <c r="F370" s="52"/>
      <c r="G370" s="52"/>
      <c r="H370" s="52"/>
      <c r="I370" s="52"/>
      <c r="J370" s="52"/>
      <c r="K370" s="52"/>
    </row>
    <row r="371" spans="4:30" customFormat="1" x14ac:dyDescent="0.25">
      <c r="D371" s="237" t="str">
        <f>IF(OR(M307="",O307=""),"5º Lugar",IF(M307&gt;O307,E305,P305))</f>
        <v>.In$a.Nyos.Br</v>
      </c>
      <c r="E371" s="238"/>
      <c r="F371" s="238"/>
      <c r="G371" s="238"/>
      <c r="H371" s="238"/>
      <c r="I371" s="238"/>
      <c r="J371" s="238"/>
      <c r="K371" s="238"/>
      <c r="L371" s="239"/>
      <c r="M371" s="217" t="s">
        <v>83</v>
      </c>
      <c r="N371" s="218"/>
      <c r="O371" s="218"/>
      <c r="P371" s="218"/>
      <c r="Q371" s="218"/>
      <c r="R371" s="218"/>
      <c r="S371" s="218"/>
      <c r="T371" s="218"/>
      <c r="U371" s="218"/>
      <c r="V371" s="218"/>
      <c r="W371" s="218"/>
      <c r="X371" s="218"/>
      <c r="Y371" s="218"/>
      <c r="Z371" s="218"/>
      <c r="AA371" s="218"/>
      <c r="AB371" s="218"/>
      <c r="AC371" s="218"/>
      <c r="AD371" s="219"/>
    </row>
    <row r="372" spans="4:30" customFormat="1" x14ac:dyDescent="0.25">
      <c r="D372" s="240"/>
      <c r="E372" s="241"/>
      <c r="F372" s="241"/>
      <c r="G372" s="241"/>
      <c r="H372" s="241"/>
      <c r="I372" s="241"/>
      <c r="J372" s="241"/>
      <c r="K372" s="241"/>
      <c r="L372" s="242"/>
      <c r="M372" s="220"/>
      <c r="N372" s="221"/>
      <c r="O372" s="221"/>
      <c r="P372" s="221"/>
      <c r="Q372" s="221"/>
      <c r="R372" s="221"/>
      <c r="S372" s="221"/>
      <c r="T372" s="221"/>
      <c r="U372" s="221"/>
      <c r="V372" s="221"/>
      <c r="W372" s="221"/>
      <c r="X372" s="221"/>
      <c r="Y372" s="221"/>
      <c r="Z372" s="221"/>
      <c r="AA372" s="221"/>
      <c r="AB372" s="221"/>
      <c r="AC372" s="221"/>
      <c r="AD372" s="222"/>
    </row>
    <row r="373" spans="4:30" customFormat="1" x14ac:dyDescent="0.25">
      <c r="D373" s="240"/>
      <c r="E373" s="241"/>
      <c r="F373" s="241"/>
      <c r="G373" s="241"/>
      <c r="H373" s="241"/>
      <c r="I373" s="241"/>
      <c r="J373" s="241"/>
      <c r="K373" s="241"/>
      <c r="L373" s="242"/>
      <c r="M373" s="220"/>
      <c r="N373" s="221"/>
      <c r="O373" s="221"/>
      <c r="P373" s="221"/>
      <c r="Q373" s="221"/>
      <c r="R373" s="221"/>
      <c r="S373" s="221"/>
      <c r="T373" s="221"/>
      <c r="U373" s="221"/>
      <c r="V373" s="221"/>
      <c r="W373" s="221"/>
      <c r="X373" s="221"/>
      <c r="Y373" s="221"/>
      <c r="Z373" s="221"/>
      <c r="AA373" s="221"/>
      <c r="AB373" s="221"/>
      <c r="AC373" s="221"/>
      <c r="AD373" s="222"/>
    </row>
    <row r="374" spans="4:30" customFormat="1" x14ac:dyDescent="0.25">
      <c r="D374" s="240"/>
      <c r="E374" s="241"/>
      <c r="F374" s="241"/>
      <c r="G374" s="241"/>
      <c r="H374" s="241"/>
      <c r="I374" s="241"/>
      <c r="J374" s="241"/>
      <c r="K374" s="241"/>
      <c r="L374" s="242"/>
      <c r="M374" s="220"/>
      <c r="N374" s="221"/>
      <c r="O374" s="221"/>
      <c r="P374" s="221"/>
      <c r="Q374" s="221"/>
      <c r="R374" s="221"/>
      <c r="S374" s="221"/>
      <c r="T374" s="221"/>
      <c r="U374" s="221"/>
      <c r="V374" s="221"/>
      <c r="W374" s="221"/>
      <c r="X374" s="221"/>
      <c r="Y374" s="221"/>
      <c r="Z374" s="221"/>
      <c r="AA374" s="221"/>
      <c r="AB374" s="221"/>
      <c r="AC374" s="221"/>
      <c r="AD374" s="222"/>
    </row>
    <row r="375" spans="4:30" customFormat="1" x14ac:dyDescent="0.25">
      <c r="D375" s="240"/>
      <c r="E375" s="241"/>
      <c r="F375" s="241"/>
      <c r="G375" s="241"/>
      <c r="H375" s="241"/>
      <c r="I375" s="241"/>
      <c r="J375" s="241"/>
      <c r="K375" s="241"/>
      <c r="L375" s="242"/>
      <c r="M375" s="220"/>
      <c r="N375" s="221"/>
      <c r="O375" s="221"/>
      <c r="P375" s="221"/>
      <c r="Q375" s="221"/>
      <c r="R375" s="221"/>
      <c r="S375" s="221"/>
      <c r="T375" s="221"/>
      <c r="U375" s="221"/>
      <c r="V375" s="221"/>
      <c r="W375" s="221"/>
      <c r="X375" s="221"/>
      <c r="Y375" s="221"/>
      <c r="Z375" s="221"/>
      <c r="AA375" s="221"/>
      <c r="AB375" s="221"/>
      <c r="AC375" s="221"/>
      <c r="AD375" s="222"/>
    </row>
    <row r="376" spans="4:30" customFormat="1" x14ac:dyDescent="0.25">
      <c r="D376" s="240"/>
      <c r="E376" s="241"/>
      <c r="F376" s="241"/>
      <c r="G376" s="241"/>
      <c r="H376" s="241"/>
      <c r="I376" s="241"/>
      <c r="J376" s="241"/>
      <c r="K376" s="241"/>
      <c r="L376" s="242"/>
      <c r="M376" s="220"/>
      <c r="N376" s="221"/>
      <c r="O376" s="221"/>
      <c r="P376" s="221"/>
      <c r="Q376" s="221"/>
      <c r="R376" s="221"/>
      <c r="S376" s="221"/>
      <c r="T376" s="221"/>
      <c r="U376" s="221"/>
      <c r="V376" s="221"/>
      <c r="W376" s="221"/>
      <c r="X376" s="221"/>
      <c r="Y376" s="221"/>
      <c r="Z376" s="221"/>
      <c r="AA376" s="221"/>
      <c r="AB376" s="221"/>
      <c r="AC376" s="221"/>
      <c r="AD376" s="222"/>
    </row>
    <row r="377" spans="4:30" customFormat="1" x14ac:dyDescent="0.25">
      <c r="D377" s="240"/>
      <c r="E377" s="241"/>
      <c r="F377" s="241"/>
      <c r="G377" s="241"/>
      <c r="H377" s="241"/>
      <c r="I377" s="241"/>
      <c r="J377" s="241"/>
      <c r="K377" s="241"/>
      <c r="L377" s="242"/>
      <c r="M377" s="220"/>
      <c r="N377" s="221"/>
      <c r="O377" s="221"/>
      <c r="P377" s="221"/>
      <c r="Q377" s="221"/>
      <c r="R377" s="221"/>
      <c r="S377" s="221"/>
      <c r="T377" s="221"/>
      <c r="U377" s="221"/>
      <c r="V377" s="221"/>
      <c r="W377" s="221"/>
      <c r="X377" s="221"/>
      <c r="Y377" s="221"/>
      <c r="Z377" s="221"/>
      <c r="AA377" s="221"/>
      <c r="AB377" s="221"/>
      <c r="AC377" s="221"/>
      <c r="AD377" s="222"/>
    </row>
    <row r="378" spans="4:30" customFormat="1" x14ac:dyDescent="0.25">
      <c r="D378" s="240"/>
      <c r="E378" s="241"/>
      <c r="F378" s="241"/>
      <c r="G378" s="241"/>
      <c r="H378" s="241"/>
      <c r="I378" s="241"/>
      <c r="J378" s="241"/>
      <c r="K378" s="241"/>
      <c r="L378" s="242"/>
      <c r="M378" s="220"/>
      <c r="N378" s="221"/>
      <c r="O378" s="221"/>
      <c r="P378" s="221"/>
      <c r="Q378" s="221"/>
      <c r="R378" s="221"/>
      <c r="S378" s="221"/>
      <c r="T378" s="221"/>
      <c r="U378" s="221"/>
      <c r="V378" s="221"/>
      <c r="W378" s="221"/>
      <c r="X378" s="221"/>
      <c r="Y378" s="221"/>
      <c r="Z378" s="221"/>
      <c r="AA378" s="221"/>
      <c r="AB378" s="221"/>
      <c r="AC378" s="221"/>
      <c r="AD378" s="222"/>
    </row>
    <row r="379" spans="4:30" customFormat="1" x14ac:dyDescent="0.25">
      <c r="D379" s="240"/>
      <c r="E379" s="241"/>
      <c r="F379" s="241"/>
      <c r="G379" s="241"/>
      <c r="H379" s="241"/>
      <c r="I379" s="241"/>
      <c r="J379" s="241"/>
      <c r="K379" s="241"/>
      <c r="L379" s="242"/>
      <c r="M379" s="220"/>
      <c r="N379" s="221"/>
      <c r="O379" s="221"/>
      <c r="P379" s="221"/>
      <c r="Q379" s="221"/>
      <c r="R379" s="221"/>
      <c r="S379" s="221"/>
      <c r="T379" s="221"/>
      <c r="U379" s="221"/>
      <c r="V379" s="221"/>
      <c r="W379" s="221"/>
      <c r="X379" s="221"/>
      <c r="Y379" s="221"/>
      <c r="Z379" s="221"/>
      <c r="AA379" s="221"/>
      <c r="AB379" s="221"/>
      <c r="AC379" s="221"/>
      <c r="AD379" s="222"/>
    </row>
    <row r="380" spans="4:30" customFormat="1" ht="15.75" thickBot="1" x14ac:dyDescent="0.3">
      <c r="D380" s="243"/>
      <c r="E380" s="244"/>
      <c r="F380" s="244"/>
      <c r="G380" s="244"/>
      <c r="H380" s="244"/>
      <c r="I380" s="244"/>
      <c r="J380" s="244"/>
      <c r="K380" s="244"/>
      <c r="L380" s="245"/>
      <c r="M380" s="223"/>
      <c r="N380" s="224"/>
      <c r="O380" s="224"/>
      <c r="P380" s="224"/>
      <c r="Q380" s="224"/>
      <c r="R380" s="224"/>
      <c r="S380" s="224"/>
      <c r="T380" s="224"/>
      <c r="U380" s="224"/>
      <c r="V380" s="224"/>
      <c r="W380" s="224"/>
      <c r="X380" s="224"/>
      <c r="Y380" s="224"/>
      <c r="Z380" s="224"/>
      <c r="AA380" s="224"/>
      <c r="AB380" s="224"/>
      <c r="AC380" s="224"/>
      <c r="AD380" s="225"/>
    </row>
    <row r="381" spans="4:30" customFormat="1" ht="15.75" thickBot="1" x14ac:dyDescent="0.3">
      <c r="D381" s="52"/>
      <c r="E381" s="52"/>
      <c r="F381" s="52"/>
      <c r="G381" s="52"/>
      <c r="H381" s="52"/>
      <c r="I381" s="52"/>
      <c r="J381" s="52"/>
      <c r="K381" s="52"/>
    </row>
    <row r="382" spans="4:30" customFormat="1" x14ac:dyDescent="0.25">
      <c r="D382" s="237" t="str">
        <f>IF(OR(M307="",O307=""),"6º Lugar",IF(M307&lt;O307,E305,P305))</f>
        <v>Us Karas</v>
      </c>
      <c r="E382" s="238"/>
      <c r="F382" s="238"/>
      <c r="G382" s="238"/>
      <c r="H382" s="238"/>
      <c r="I382" s="238"/>
      <c r="J382" s="238"/>
      <c r="K382" s="238"/>
      <c r="L382" s="239"/>
      <c r="M382" s="217" t="s">
        <v>77</v>
      </c>
      <c r="N382" s="218"/>
      <c r="O382" s="218"/>
      <c r="P382" s="218"/>
      <c r="Q382" s="218"/>
      <c r="R382" s="218"/>
      <c r="S382" s="218"/>
      <c r="T382" s="218"/>
      <c r="U382" s="218"/>
      <c r="V382" s="218"/>
      <c r="W382" s="218"/>
      <c r="X382" s="218"/>
      <c r="Y382" s="218"/>
      <c r="Z382" s="218"/>
      <c r="AA382" s="218"/>
      <c r="AB382" s="218"/>
      <c r="AC382" s="218"/>
      <c r="AD382" s="219"/>
    </row>
    <row r="383" spans="4:30" customFormat="1" x14ac:dyDescent="0.25">
      <c r="D383" s="240"/>
      <c r="E383" s="241"/>
      <c r="F383" s="241"/>
      <c r="G383" s="241"/>
      <c r="H383" s="241"/>
      <c r="I383" s="241"/>
      <c r="J383" s="241"/>
      <c r="K383" s="241"/>
      <c r="L383" s="242"/>
      <c r="M383" s="220"/>
      <c r="N383" s="221"/>
      <c r="O383" s="221"/>
      <c r="P383" s="221"/>
      <c r="Q383" s="221"/>
      <c r="R383" s="221"/>
      <c r="S383" s="221"/>
      <c r="T383" s="221"/>
      <c r="U383" s="221"/>
      <c r="V383" s="221"/>
      <c r="W383" s="221"/>
      <c r="X383" s="221"/>
      <c r="Y383" s="221"/>
      <c r="Z383" s="221"/>
      <c r="AA383" s="221"/>
      <c r="AB383" s="221"/>
      <c r="AC383" s="221"/>
      <c r="AD383" s="222"/>
    </row>
    <row r="384" spans="4:30" customFormat="1" x14ac:dyDescent="0.25">
      <c r="D384" s="240"/>
      <c r="E384" s="241"/>
      <c r="F384" s="241"/>
      <c r="G384" s="241"/>
      <c r="H384" s="241"/>
      <c r="I384" s="241"/>
      <c r="J384" s="241"/>
      <c r="K384" s="241"/>
      <c r="L384" s="242"/>
      <c r="M384" s="220"/>
      <c r="N384" s="221"/>
      <c r="O384" s="221"/>
      <c r="P384" s="221"/>
      <c r="Q384" s="221"/>
      <c r="R384" s="221"/>
      <c r="S384" s="221"/>
      <c r="T384" s="221"/>
      <c r="U384" s="221"/>
      <c r="V384" s="221"/>
      <c r="W384" s="221"/>
      <c r="X384" s="221"/>
      <c r="Y384" s="221"/>
      <c r="Z384" s="221"/>
      <c r="AA384" s="221"/>
      <c r="AB384" s="221"/>
      <c r="AC384" s="221"/>
      <c r="AD384" s="222"/>
    </row>
    <row r="385" spans="4:30" customFormat="1" x14ac:dyDescent="0.25">
      <c r="D385" s="240"/>
      <c r="E385" s="241"/>
      <c r="F385" s="241"/>
      <c r="G385" s="241"/>
      <c r="H385" s="241"/>
      <c r="I385" s="241"/>
      <c r="J385" s="241"/>
      <c r="K385" s="241"/>
      <c r="L385" s="242"/>
      <c r="M385" s="220"/>
      <c r="N385" s="221"/>
      <c r="O385" s="221"/>
      <c r="P385" s="221"/>
      <c r="Q385" s="221"/>
      <c r="R385" s="221"/>
      <c r="S385" s="221"/>
      <c r="T385" s="221"/>
      <c r="U385" s="221"/>
      <c r="V385" s="221"/>
      <c r="W385" s="221"/>
      <c r="X385" s="221"/>
      <c r="Y385" s="221"/>
      <c r="Z385" s="221"/>
      <c r="AA385" s="221"/>
      <c r="AB385" s="221"/>
      <c r="AC385" s="221"/>
      <c r="AD385" s="222"/>
    </row>
    <row r="386" spans="4:30" customFormat="1" x14ac:dyDescent="0.25">
      <c r="D386" s="240"/>
      <c r="E386" s="241"/>
      <c r="F386" s="241"/>
      <c r="G386" s="241"/>
      <c r="H386" s="241"/>
      <c r="I386" s="241"/>
      <c r="J386" s="241"/>
      <c r="K386" s="241"/>
      <c r="L386" s="242"/>
      <c r="M386" s="220"/>
      <c r="N386" s="221"/>
      <c r="O386" s="221"/>
      <c r="P386" s="221"/>
      <c r="Q386" s="221"/>
      <c r="R386" s="221"/>
      <c r="S386" s="221"/>
      <c r="T386" s="221"/>
      <c r="U386" s="221"/>
      <c r="V386" s="221"/>
      <c r="W386" s="221"/>
      <c r="X386" s="221"/>
      <c r="Y386" s="221"/>
      <c r="Z386" s="221"/>
      <c r="AA386" s="221"/>
      <c r="AB386" s="221"/>
      <c r="AC386" s="221"/>
      <c r="AD386" s="222"/>
    </row>
    <row r="387" spans="4:30" customFormat="1" x14ac:dyDescent="0.25">
      <c r="D387" s="240"/>
      <c r="E387" s="241"/>
      <c r="F387" s="241"/>
      <c r="G387" s="241"/>
      <c r="H387" s="241"/>
      <c r="I387" s="241"/>
      <c r="J387" s="241"/>
      <c r="K387" s="241"/>
      <c r="L387" s="242"/>
      <c r="M387" s="220"/>
      <c r="N387" s="221"/>
      <c r="O387" s="221"/>
      <c r="P387" s="221"/>
      <c r="Q387" s="221"/>
      <c r="R387" s="221"/>
      <c r="S387" s="221"/>
      <c r="T387" s="221"/>
      <c r="U387" s="221"/>
      <c r="V387" s="221"/>
      <c r="W387" s="221"/>
      <c r="X387" s="221"/>
      <c r="Y387" s="221"/>
      <c r="Z387" s="221"/>
      <c r="AA387" s="221"/>
      <c r="AB387" s="221"/>
      <c r="AC387" s="221"/>
      <c r="AD387" s="222"/>
    </row>
    <row r="388" spans="4:30" customFormat="1" x14ac:dyDescent="0.25">
      <c r="D388" s="240"/>
      <c r="E388" s="241"/>
      <c r="F388" s="241"/>
      <c r="G388" s="241"/>
      <c r="H388" s="241"/>
      <c r="I388" s="241"/>
      <c r="J388" s="241"/>
      <c r="K388" s="241"/>
      <c r="L388" s="242"/>
      <c r="M388" s="220"/>
      <c r="N388" s="221"/>
      <c r="O388" s="221"/>
      <c r="P388" s="221"/>
      <c r="Q388" s="221"/>
      <c r="R388" s="221"/>
      <c r="S388" s="221"/>
      <c r="T388" s="221"/>
      <c r="U388" s="221"/>
      <c r="V388" s="221"/>
      <c r="W388" s="221"/>
      <c r="X388" s="221"/>
      <c r="Y388" s="221"/>
      <c r="Z388" s="221"/>
      <c r="AA388" s="221"/>
      <c r="AB388" s="221"/>
      <c r="AC388" s="221"/>
      <c r="AD388" s="222"/>
    </row>
    <row r="389" spans="4:30" customFormat="1" x14ac:dyDescent="0.25">
      <c r="D389" s="240"/>
      <c r="E389" s="241"/>
      <c r="F389" s="241"/>
      <c r="G389" s="241"/>
      <c r="H389" s="241"/>
      <c r="I389" s="241"/>
      <c r="J389" s="241"/>
      <c r="K389" s="241"/>
      <c r="L389" s="242"/>
      <c r="M389" s="220"/>
      <c r="N389" s="221"/>
      <c r="O389" s="221"/>
      <c r="P389" s="221"/>
      <c r="Q389" s="221"/>
      <c r="R389" s="221"/>
      <c r="S389" s="221"/>
      <c r="T389" s="221"/>
      <c r="U389" s="221"/>
      <c r="V389" s="221"/>
      <c r="W389" s="221"/>
      <c r="X389" s="221"/>
      <c r="Y389" s="221"/>
      <c r="Z389" s="221"/>
      <c r="AA389" s="221"/>
      <c r="AB389" s="221"/>
      <c r="AC389" s="221"/>
      <c r="AD389" s="222"/>
    </row>
    <row r="390" spans="4:30" customFormat="1" x14ac:dyDescent="0.25">
      <c r="D390" s="240"/>
      <c r="E390" s="241"/>
      <c r="F390" s="241"/>
      <c r="G390" s="241"/>
      <c r="H390" s="241"/>
      <c r="I390" s="241"/>
      <c r="J390" s="241"/>
      <c r="K390" s="241"/>
      <c r="L390" s="242"/>
      <c r="M390" s="220"/>
      <c r="N390" s="221"/>
      <c r="O390" s="221"/>
      <c r="P390" s="221"/>
      <c r="Q390" s="221"/>
      <c r="R390" s="221"/>
      <c r="S390" s="221"/>
      <c r="T390" s="221"/>
      <c r="U390" s="221"/>
      <c r="V390" s="221"/>
      <c r="W390" s="221"/>
      <c r="X390" s="221"/>
      <c r="Y390" s="221"/>
      <c r="Z390" s="221"/>
      <c r="AA390" s="221"/>
      <c r="AB390" s="221"/>
      <c r="AC390" s="221"/>
      <c r="AD390" s="222"/>
    </row>
    <row r="391" spans="4:30" customFormat="1" ht="15.75" thickBot="1" x14ac:dyDescent="0.3">
      <c r="D391" s="243"/>
      <c r="E391" s="244"/>
      <c r="F391" s="244"/>
      <c r="G391" s="244"/>
      <c r="H391" s="244"/>
      <c r="I391" s="244"/>
      <c r="J391" s="244"/>
      <c r="K391" s="244"/>
      <c r="L391" s="245"/>
      <c r="M391" s="223"/>
      <c r="N391" s="224"/>
      <c r="O391" s="224"/>
      <c r="P391" s="224"/>
      <c r="Q391" s="224"/>
      <c r="R391" s="224"/>
      <c r="S391" s="224"/>
      <c r="T391" s="224"/>
      <c r="U391" s="224"/>
      <c r="V391" s="224"/>
      <c r="W391" s="224"/>
      <c r="X391" s="224"/>
      <c r="Y391" s="224"/>
      <c r="Z391" s="224"/>
      <c r="AA391" s="224"/>
      <c r="AB391" s="224"/>
      <c r="AC391" s="224"/>
      <c r="AD391" s="225"/>
    </row>
    <row r="392" spans="4:30" customFormat="1" ht="15.75" thickBot="1" x14ac:dyDescent="0.3">
      <c r="D392" s="52"/>
      <c r="E392" s="52"/>
      <c r="F392" s="52"/>
      <c r="G392" s="52"/>
      <c r="H392" s="52"/>
      <c r="I392" s="52"/>
      <c r="J392" s="52"/>
      <c r="K392" s="52"/>
    </row>
    <row r="393" spans="4:30" customFormat="1" x14ac:dyDescent="0.25">
      <c r="D393" s="237" t="str">
        <f>IF(OR(M298="",O298=""),"7º Lugar",IF(M298&gt;O298,E296,P296))</f>
        <v>ManchesterUrubu City</v>
      </c>
      <c r="E393" s="238"/>
      <c r="F393" s="238"/>
      <c r="G393" s="238"/>
      <c r="H393" s="238"/>
      <c r="I393" s="238"/>
      <c r="J393" s="238"/>
      <c r="K393" s="238"/>
      <c r="L393" s="239"/>
      <c r="M393" s="217" t="s">
        <v>78</v>
      </c>
      <c r="N393" s="218"/>
      <c r="O393" s="218"/>
      <c r="P393" s="218"/>
      <c r="Q393" s="218"/>
      <c r="R393" s="218"/>
      <c r="S393" s="218"/>
      <c r="T393" s="218"/>
      <c r="U393" s="218"/>
      <c r="V393" s="218"/>
      <c r="W393" s="218"/>
      <c r="X393" s="218"/>
      <c r="Y393" s="218"/>
      <c r="Z393" s="218"/>
      <c r="AA393" s="218"/>
      <c r="AB393" s="218"/>
      <c r="AC393" s="218"/>
      <c r="AD393" s="219"/>
    </row>
    <row r="394" spans="4:30" customFormat="1" x14ac:dyDescent="0.25">
      <c r="D394" s="240"/>
      <c r="E394" s="241"/>
      <c r="F394" s="241"/>
      <c r="G394" s="241"/>
      <c r="H394" s="241"/>
      <c r="I394" s="241"/>
      <c r="J394" s="241"/>
      <c r="K394" s="241"/>
      <c r="L394" s="242"/>
      <c r="M394" s="220"/>
      <c r="N394" s="221"/>
      <c r="O394" s="221"/>
      <c r="P394" s="221"/>
      <c r="Q394" s="221"/>
      <c r="R394" s="221"/>
      <c r="S394" s="221"/>
      <c r="T394" s="221"/>
      <c r="U394" s="221"/>
      <c r="V394" s="221"/>
      <c r="W394" s="221"/>
      <c r="X394" s="221"/>
      <c r="Y394" s="221"/>
      <c r="Z394" s="221"/>
      <c r="AA394" s="221"/>
      <c r="AB394" s="221"/>
      <c r="AC394" s="221"/>
      <c r="AD394" s="222"/>
    </row>
    <row r="395" spans="4:30" customFormat="1" x14ac:dyDescent="0.25">
      <c r="D395" s="240"/>
      <c r="E395" s="241"/>
      <c r="F395" s="241"/>
      <c r="G395" s="241"/>
      <c r="H395" s="241"/>
      <c r="I395" s="241"/>
      <c r="J395" s="241"/>
      <c r="K395" s="241"/>
      <c r="L395" s="242"/>
      <c r="M395" s="220"/>
      <c r="N395" s="221"/>
      <c r="O395" s="221"/>
      <c r="P395" s="221"/>
      <c r="Q395" s="221"/>
      <c r="R395" s="221"/>
      <c r="S395" s="221"/>
      <c r="T395" s="221"/>
      <c r="U395" s="221"/>
      <c r="V395" s="221"/>
      <c r="W395" s="221"/>
      <c r="X395" s="221"/>
      <c r="Y395" s="221"/>
      <c r="Z395" s="221"/>
      <c r="AA395" s="221"/>
      <c r="AB395" s="221"/>
      <c r="AC395" s="221"/>
      <c r="AD395" s="222"/>
    </row>
    <row r="396" spans="4:30" customFormat="1" x14ac:dyDescent="0.25">
      <c r="D396" s="240"/>
      <c r="E396" s="241"/>
      <c r="F396" s="241"/>
      <c r="G396" s="241"/>
      <c r="H396" s="241"/>
      <c r="I396" s="241"/>
      <c r="J396" s="241"/>
      <c r="K396" s="241"/>
      <c r="L396" s="242"/>
      <c r="M396" s="220"/>
      <c r="N396" s="221"/>
      <c r="O396" s="221"/>
      <c r="P396" s="221"/>
      <c r="Q396" s="221"/>
      <c r="R396" s="221"/>
      <c r="S396" s="221"/>
      <c r="T396" s="221"/>
      <c r="U396" s="221"/>
      <c r="V396" s="221"/>
      <c r="W396" s="221"/>
      <c r="X396" s="221"/>
      <c r="Y396" s="221"/>
      <c r="Z396" s="221"/>
      <c r="AA396" s="221"/>
      <c r="AB396" s="221"/>
      <c r="AC396" s="221"/>
      <c r="AD396" s="222"/>
    </row>
    <row r="397" spans="4:30" customFormat="1" x14ac:dyDescent="0.25">
      <c r="D397" s="240"/>
      <c r="E397" s="241"/>
      <c r="F397" s="241"/>
      <c r="G397" s="241"/>
      <c r="H397" s="241"/>
      <c r="I397" s="241"/>
      <c r="J397" s="241"/>
      <c r="K397" s="241"/>
      <c r="L397" s="242"/>
      <c r="M397" s="220"/>
      <c r="N397" s="221"/>
      <c r="O397" s="221"/>
      <c r="P397" s="221"/>
      <c r="Q397" s="221"/>
      <c r="R397" s="221"/>
      <c r="S397" s="221"/>
      <c r="T397" s="221"/>
      <c r="U397" s="221"/>
      <c r="V397" s="221"/>
      <c r="W397" s="221"/>
      <c r="X397" s="221"/>
      <c r="Y397" s="221"/>
      <c r="Z397" s="221"/>
      <c r="AA397" s="221"/>
      <c r="AB397" s="221"/>
      <c r="AC397" s="221"/>
      <c r="AD397" s="222"/>
    </row>
    <row r="398" spans="4:30" customFormat="1" x14ac:dyDescent="0.25">
      <c r="D398" s="240"/>
      <c r="E398" s="241"/>
      <c r="F398" s="241"/>
      <c r="G398" s="241"/>
      <c r="H398" s="241"/>
      <c r="I398" s="241"/>
      <c r="J398" s="241"/>
      <c r="K398" s="241"/>
      <c r="L398" s="242"/>
      <c r="M398" s="220"/>
      <c r="N398" s="221"/>
      <c r="O398" s="221"/>
      <c r="P398" s="221"/>
      <c r="Q398" s="221"/>
      <c r="R398" s="221"/>
      <c r="S398" s="221"/>
      <c r="T398" s="221"/>
      <c r="U398" s="221"/>
      <c r="V398" s="221"/>
      <c r="W398" s="221"/>
      <c r="X398" s="221"/>
      <c r="Y398" s="221"/>
      <c r="Z398" s="221"/>
      <c r="AA398" s="221"/>
      <c r="AB398" s="221"/>
      <c r="AC398" s="221"/>
      <c r="AD398" s="222"/>
    </row>
    <row r="399" spans="4:30" customFormat="1" x14ac:dyDescent="0.25">
      <c r="D399" s="240"/>
      <c r="E399" s="241"/>
      <c r="F399" s="241"/>
      <c r="G399" s="241"/>
      <c r="H399" s="241"/>
      <c r="I399" s="241"/>
      <c r="J399" s="241"/>
      <c r="K399" s="241"/>
      <c r="L399" s="242"/>
      <c r="M399" s="220"/>
      <c r="N399" s="221"/>
      <c r="O399" s="221"/>
      <c r="P399" s="221"/>
      <c r="Q399" s="221"/>
      <c r="R399" s="221"/>
      <c r="S399" s="221"/>
      <c r="T399" s="221"/>
      <c r="U399" s="221"/>
      <c r="V399" s="221"/>
      <c r="W399" s="221"/>
      <c r="X399" s="221"/>
      <c r="Y399" s="221"/>
      <c r="Z399" s="221"/>
      <c r="AA399" s="221"/>
      <c r="AB399" s="221"/>
      <c r="AC399" s="221"/>
      <c r="AD399" s="222"/>
    </row>
    <row r="400" spans="4:30" customFormat="1" x14ac:dyDescent="0.25">
      <c r="D400" s="240"/>
      <c r="E400" s="241"/>
      <c r="F400" s="241"/>
      <c r="G400" s="241"/>
      <c r="H400" s="241"/>
      <c r="I400" s="241"/>
      <c r="J400" s="241"/>
      <c r="K400" s="241"/>
      <c r="L400" s="242"/>
      <c r="M400" s="220"/>
      <c r="N400" s="221"/>
      <c r="O400" s="221"/>
      <c r="P400" s="221"/>
      <c r="Q400" s="221"/>
      <c r="R400" s="221"/>
      <c r="S400" s="221"/>
      <c r="T400" s="221"/>
      <c r="U400" s="221"/>
      <c r="V400" s="221"/>
      <c r="W400" s="221"/>
      <c r="X400" s="221"/>
      <c r="Y400" s="221"/>
      <c r="Z400" s="221"/>
      <c r="AA400" s="221"/>
      <c r="AB400" s="221"/>
      <c r="AC400" s="221"/>
      <c r="AD400" s="222"/>
    </row>
    <row r="401" spans="4:30" customFormat="1" x14ac:dyDescent="0.25">
      <c r="D401" s="240"/>
      <c r="E401" s="241"/>
      <c r="F401" s="241"/>
      <c r="G401" s="241"/>
      <c r="H401" s="241"/>
      <c r="I401" s="241"/>
      <c r="J401" s="241"/>
      <c r="K401" s="241"/>
      <c r="L401" s="242"/>
      <c r="M401" s="220"/>
      <c r="N401" s="221"/>
      <c r="O401" s="221"/>
      <c r="P401" s="221"/>
      <c r="Q401" s="221"/>
      <c r="R401" s="221"/>
      <c r="S401" s="221"/>
      <c r="T401" s="221"/>
      <c r="U401" s="221"/>
      <c r="V401" s="221"/>
      <c r="W401" s="221"/>
      <c r="X401" s="221"/>
      <c r="Y401" s="221"/>
      <c r="Z401" s="221"/>
      <c r="AA401" s="221"/>
      <c r="AB401" s="221"/>
      <c r="AC401" s="221"/>
      <c r="AD401" s="222"/>
    </row>
    <row r="402" spans="4:30" customFormat="1" ht="15.75" thickBot="1" x14ac:dyDescent="0.3">
      <c r="D402" s="243"/>
      <c r="E402" s="244"/>
      <c r="F402" s="244"/>
      <c r="G402" s="244"/>
      <c r="H402" s="244"/>
      <c r="I402" s="244"/>
      <c r="J402" s="244"/>
      <c r="K402" s="244"/>
      <c r="L402" s="245"/>
      <c r="M402" s="223"/>
      <c r="N402" s="224"/>
      <c r="O402" s="224"/>
      <c r="P402" s="224"/>
      <c r="Q402" s="224"/>
      <c r="R402" s="224"/>
      <c r="S402" s="224"/>
      <c r="T402" s="224"/>
      <c r="U402" s="224"/>
      <c r="V402" s="224"/>
      <c r="W402" s="224"/>
      <c r="X402" s="224"/>
      <c r="Y402" s="224"/>
      <c r="Z402" s="224"/>
      <c r="AA402" s="224"/>
      <c r="AB402" s="224"/>
      <c r="AC402" s="224"/>
      <c r="AD402" s="225"/>
    </row>
    <row r="403" spans="4:30" customFormat="1" ht="15.75" thickBot="1" x14ac:dyDescent="0.3"/>
    <row r="404" spans="4:30" customFormat="1" x14ac:dyDescent="0.25">
      <c r="D404" s="237" t="str">
        <f>IF(OR(M298="",O298=""),"8º Lugar",IF(M298&lt;O298,E296,P296))</f>
        <v xml:space="preserve">Real Grotinha United </v>
      </c>
      <c r="E404" s="238"/>
      <c r="F404" s="238"/>
      <c r="G404" s="238"/>
      <c r="H404" s="238"/>
      <c r="I404" s="238"/>
      <c r="J404" s="238"/>
      <c r="K404" s="238"/>
      <c r="L404" s="239"/>
      <c r="M404" s="217" t="s">
        <v>79</v>
      </c>
      <c r="N404" s="218"/>
      <c r="O404" s="218"/>
      <c r="P404" s="218"/>
      <c r="Q404" s="218"/>
      <c r="R404" s="218"/>
      <c r="S404" s="218"/>
      <c r="T404" s="218"/>
      <c r="U404" s="218"/>
      <c r="V404" s="218"/>
      <c r="W404" s="218"/>
      <c r="X404" s="218"/>
      <c r="Y404" s="218"/>
      <c r="Z404" s="218"/>
      <c r="AA404" s="218"/>
      <c r="AB404" s="218"/>
      <c r="AC404" s="218"/>
      <c r="AD404" s="219"/>
    </row>
    <row r="405" spans="4:30" customFormat="1" x14ac:dyDescent="0.25">
      <c r="D405" s="240"/>
      <c r="E405" s="241"/>
      <c r="F405" s="241"/>
      <c r="G405" s="241"/>
      <c r="H405" s="241"/>
      <c r="I405" s="241"/>
      <c r="J405" s="241"/>
      <c r="K405" s="241"/>
      <c r="L405" s="242"/>
      <c r="M405" s="220"/>
      <c r="N405" s="221"/>
      <c r="O405" s="221"/>
      <c r="P405" s="221"/>
      <c r="Q405" s="221"/>
      <c r="R405" s="221"/>
      <c r="S405" s="221"/>
      <c r="T405" s="221"/>
      <c r="U405" s="221"/>
      <c r="V405" s="221"/>
      <c r="W405" s="221"/>
      <c r="X405" s="221"/>
      <c r="Y405" s="221"/>
      <c r="Z405" s="221"/>
      <c r="AA405" s="221"/>
      <c r="AB405" s="221"/>
      <c r="AC405" s="221"/>
      <c r="AD405" s="222"/>
    </row>
    <row r="406" spans="4:30" customFormat="1" x14ac:dyDescent="0.25">
      <c r="D406" s="240"/>
      <c r="E406" s="241"/>
      <c r="F406" s="241"/>
      <c r="G406" s="241"/>
      <c r="H406" s="241"/>
      <c r="I406" s="241"/>
      <c r="J406" s="241"/>
      <c r="K406" s="241"/>
      <c r="L406" s="242"/>
      <c r="M406" s="220"/>
      <c r="N406" s="221"/>
      <c r="O406" s="221"/>
      <c r="P406" s="221"/>
      <c r="Q406" s="221"/>
      <c r="R406" s="221"/>
      <c r="S406" s="221"/>
      <c r="T406" s="221"/>
      <c r="U406" s="221"/>
      <c r="V406" s="221"/>
      <c r="W406" s="221"/>
      <c r="X406" s="221"/>
      <c r="Y406" s="221"/>
      <c r="Z406" s="221"/>
      <c r="AA406" s="221"/>
      <c r="AB406" s="221"/>
      <c r="AC406" s="221"/>
      <c r="AD406" s="222"/>
    </row>
    <row r="407" spans="4:30" customFormat="1" x14ac:dyDescent="0.25">
      <c r="D407" s="240"/>
      <c r="E407" s="241"/>
      <c r="F407" s="241"/>
      <c r="G407" s="241"/>
      <c r="H407" s="241"/>
      <c r="I407" s="241"/>
      <c r="J407" s="241"/>
      <c r="K407" s="241"/>
      <c r="L407" s="242"/>
      <c r="M407" s="220"/>
      <c r="N407" s="221"/>
      <c r="O407" s="221"/>
      <c r="P407" s="221"/>
      <c r="Q407" s="221"/>
      <c r="R407" s="221"/>
      <c r="S407" s="221"/>
      <c r="T407" s="221"/>
      <c r="U407" s="221"/>
      <c r="V407" s="221"/>
      <c r="W407" s="221"/>
      <c r="X407" s="221"/>
      <c r="Y407" s="221"/>
      <c r="Z407" s="221"/>
      <c r="AA407" s="221"/>
      <c r="AB407" s="221"/>
      <c r="AC407" s="221"/>
      <c r="AD407" s="222"/>
    </row>
    <row r="408" spans="4:30" customFormat="1" x14ac:dyDescent="0.25">
      <c r="D408" s="240"/>
      <c r="E408" s="241"/>
      <c r="F408" s="241"/>
      <c r="G408" s="241"/>
      <c r="H408" s="241"/>
      <c r="I408" s="241"/>
      <c r="J408" s="241"/>
      <c r="K408" s="241"/>
      <c r="L408" s="242"/>
      <c r="M408" s="220"/>
      <c r="N408" s="221"/>
      <c r="O408" s="221"/>
      <c r="P408" s="221"/>
      <c r="Q408" s="221"/>
      <c r="R408" s="221"/>
      <c r="S408" s="221"/>
      <c r="T408" s="221"/>
      <c r="U408" s="221"/>
      <c r="V408" s="221"/>
      <c r="W408" s="221"/>
      <c r="X408" s="221"/>
      <c r="Y408" s="221"/>
      <c r="Z408" s="221"/>
      <c r="AA408" s="221"/>
      <c r="AB408" s="221"/>
      <c r="AC408" s="221"/>
      <c r="AD408" s="222"/>
    </row>
    <row r="409" spans="4:30" customFormat="1" x14ac:dyDescent="0.25">
      <c r="D409" s="240"/>
      <c r="E409" s="241"/>
      <c r="F409" s="241"/>
      <c r="G409" s="241"/>
      <c r="H409" s="241"/>
      <c r="I409" s="241"/>
      <c r="J409" s="241"/>
      <c r="K409" s="241"/>
      <c r="L409" s="242"/>
      <c r="M409" s="220"/>
      <c r="N409" s="221"/>
      <c r="O409" s="221"/>
      <c r="P409" s="221"/>
      <c r="Q409" s="221"/>
      <c r="R409" s="221"/>
      <c r="S409" s="221"/>
      <c r="T409" s="221"/>
      <c r="U409" s="221"/>
      <c r="V409" s="221"/>
      <c r="W409" s="221"/>
      <c r="X409" s="221"/>
      <c r="Y409" s="221"/>
      <c r="Z409" s="221"/>
      <c r="AA409" s="221"/>
      <c r="AB409" s="221"/>
      <c r="AC409" s="221"/>
      <c r="AD409" s="222"/>
    </row>
    <row r="410" spans="4:30" customFormat="1" x14ac:dyDescent="0.25">
      <c r="D410" s="240"/>
      <c r="E410" s="241"/>
      <c r="F410" s="241"/>
      <c r="G410" s="241"/>
      <c r="H410" s="241"/>
      <c r="I410" s="241"/>
      <c r="J410" s="241"/>
      <c r="K410" s="241"/>
      <c r="L410" s="242"/>
      <c r="M410" s="220"/>
      <c r="N410" s="221"/>
      <c r="O410" s="221"/>
      <c r="P410" s="221"/>
      <c r="Q410" s="221"/>
      <c r="R410" s="221"/>
      <c r="S410" s="221"/>
      <c r="T410" s="221"/>
      <c r="U410" s="221"/>
      <c r="V410" s="221"/>
      <c r="W410" s="221"/>
      <c r="X410" s="221"/>
      <c r="Y410" s="221"/>
      <c r="Z410" s="221"/>
      <c r="AA410" s="221"/>
      <c r="AB410" s="221"/>
      <c r="AC410" s="221"/>
      <c r="AD410" s="222"/>
    </row>
    <row r="411" spans="4:30" customFormat="1" x14ac:dyDescent="0.25">
      <c r="D411" s="240"/>
      <c r="E411" s="241"/>
      <c r="F411" s="241"/>
      <c r="G411" s="241"/>
      <c r="H411" s="241"/>
      <c r="I411" s="241"/>
      <c r="J411" s="241"/>
      <c r="K411" s="241"/>
      <c r="L411" s="242"/>
      <c r="M411" s="220"/>
      <c r="N411" s="221"/>
      <c r="O411" s="221"/>
      <c r="P411" s="221"/>
      <c r="Q411" s="221"/>
      <c r="R411" s="221"/>
      <c r="S411" s="221"/>
      <c r="T411" s="221"/>
      <c r="U411" s="221"/>
      <c r="V411" s="221"/>
      <c r="W411" s="221"/>
      <c r="X411" s="221"/>
      <c r="Y411" s="221"/>
      <c r="Z411" s="221"/>
      <c r="AA411" s="221"/>
      <c r="AB411" s="221"/>
      <c r="AC411" s="221"/>
      <c r="AD411" s="222"/>
    </row>
    <row r="412" spans="4:30" customFormat="1" x14ac:dyDescent="0.25">
      <c r="D412" s="240"/>
      <c r="E412" s="241"/>
      <c r="F412" s="241"/>
      <c r="G412" s="241"/>
      <c r="H412" s="241"/>
      <c r="I412" s="241"/>
      <c r="J412" s="241"/>
      <c r="K412" s="241"/>
      <c r="L412" s="242"/>
      <c r="M412" s="220"/>
      <c r="N412" s="221"/>
      <c r="O412" s="221"/>
      <c r="P412" s="221"/>
      <c r="Q412" s="221"/>
      <c r="R412" s="221"/>
      <c r="S412" s="221"/>
      <c r="T412" s="221"/>
      <c r="U412" s="221"/>
      <c r="V412" s="221"/>
      <c r="W412" s="221"/>
      <c r="X412" s="221"/>
      <c r="Y412" s="221"/>
      <c r="Z412" s="221"/>
      <c r="AA412" s="221"/>
      <c r="AB412" s="221"/>
      <c r="AC412" s="221"/>
      <c r="AD412" s="222"/>
    </row>
    <row r="413" spans="4:30" customFormat="1" ht="15.75" thickBot="1" x14ac:dyDescent="0.3">
      <c r="D413" s="243"/>
      <c r="E413" s="244"/>
      <c r="F413" s="244"/>
      <c r="G413" s="244"/>
      <c r="H413" s="244"/>
      <c r="I413" s="244"/>
      <c r="J413" s="244"/>
      <c r="K413" s="244"/>
      <c r="L413" s="245"/>
      <c r="M413" s="223"/>
      <c r="N413" s="224"/>
      <c r="O413" s="224"/>
      <c r="P413" s="224"/>
      <c r="Q413" s="224"/>
      <c r="R413" s="224"/>
      <c r="S413" s="224"/>
      <c r="T413" s="224"/>
      <c r="U413" s="224"/>
      <c r="V413" s="224"/>
      <c r="W413" s="224"/>
      <c r="X413" s="224"/>
      <c r="Y413" s="224"/>
      <c r="Z413" s="224"/>
      <c r="AA413" s="224"/>
      <c r="AB413" s="224"/>
      <c r="AC413" s="224"/>
      <c r="AD413" s="225"/>
    </row>
    <row r="414" spans="4:30" customFormat="1" ht="15.75" thickBot="1" x14ac:dyDescent="0.3"/>
    <row r="415" spans="4:30" customFormat="1" x14ac:dyDescent="0.25">
      <c r="D415" s="237" t="str">
        <f>IF(OR(M289="",O289=""),"9º Lugar",IF(M289&gt;O289,E287,P287))</f>
        <v>Grajaú F.C.</v>
      </c>
      <c r="E415" s="238"/>
      <c r="F415" s="238"/>
      <c r="G415" s="238"/>
      <c r="H415" s="238"/>
      <c r="I415" s="238"/>
      <c r="J415" s="238"/>
      <c r="K415" s="238"/>
      <c r="L415" s="239"/>
      <c r="M415" s="217" t="s">
        <v>80</v>
      </c>
      <c r="N415" s="218"/>
      <c r="O415" s="218"/>
      <c r="P415" s="218"/>
      <c r="Q415" s="218"/>
      <c r="R415" s="218"/>
      <c r="S415" s="218"/>
      <c r="T415" s="218"/>
      <c r="U415" s="218"/>
      <c r="V415" s="218"/>
      <c r="W415" s="218"/>
      <c r="X415" s="218"/>
      <c r="Y415" s="218"/>
      <c r="Z415" s="218"/>
      <c r="AA415" s="218"/>
      <c r="AB415" s="218"/>
      <c r="AC415" s="218"/>
      <c r="AD415" s="219"/>
    </row>
    <row r="416" spans="4:30" customFormat="1" x14ac:dyDescent="0.25">
      <c r="D416" s="240"/>
      <c r="E416" s="241"/>
      <c r="F416" s="241"/>
      <c r="G416" s="241"/>
      <c r="H416" s="241"/>
      <c r="I416" s="241"/>
      <c r="J416" s="241"/>
      <c r="K416" s="241"/>
      <c r="L416" s="242"/>
      <c r="M416" s="220"/>
      <c r="N416" s="221"/>
      <c r="O416" s="221"/>
      <c r="P416" s="221"/>
      <c r="Q416" s="221"/>
      <c r="R416" s="221"/>
      <c r="S416" s="221"/>
      <c r="T416" s="221"/>
      <c r="U416" s="221"/>
      <c r="V416" s="221"/>
      <c r="W416" s="221"/>
      <c r="X416" s="221"/>
      <c r="Y416" s="221"/>
      <c r="Z416" s="221"/>
      <c r="AA416" s="221"/>
      <c r="AB416" s="221"/>
      <c r="AC416" s="221"/>
      <c r="AD416" s="222"/>
    </row>
    <row r="417" spans="4:30" customFormat="1" x14ac:dyDescent="0.25">
      <c r="D417" s="240"/>
      <c r="E417" s="241"/>
      <c r="F417" s="241"/>
      <c r="G417" s="241"/>
      <c r="H417" s="241"/>
      <c r="I417" s="241"/>
      <c r="J417" s="241"/>
      <c r="K417" s="241"/>
      <c r="L417" s="242"/>
      <c r="M417" s="220"/>
      <c r="N417" s="221"/>
      <c r="O417" s="221"/>
      <c r="P417" s="221"/>
      <c r="Q417" s="221"/>
      <c r="R417" s="221"/>
      <c r="S417" s="221"/>
      <c r="T417" s="221"/>
      <c r="U417" s="221"/>
      <c r="V417" s="221"/>
      <c r="W417" s="221"/>
      <c r="X417" s="221"/>
      <c r="Y417" s="221"/>
      <c r="Z417" s="221"/>
      <c r="AA417" s="221"/>
      <c r="AB417" s="221"/>
      <c r="AC417" s="221"/>
      <c r="AD417" s="222"/>
    </row>
    <row r="418" spans="4:30" customFormat="1" x14ac:dyDescent="0.25">
      <c r="D418" s="240"/>
      <c r="E418" s="241"/>
      <c r="F418" s="241"/>
      <c r="G418" s="241"/>
      <c r="H418" s="241"/>
      <c r="I418" s="241"/>
      <c r="J418" s="241"/>
      <c r="K418" s="241"/>
      <c r="L418" s="242"/>
      <c r="M418" s="220"/>
      <c r="N418" s="221"/>
      <c r="O418" s="221"/>
      <c r="P418" s="221"/>
      <c r="Q418" s="221"/>
      <c r="R418" s="221"/>
      <c r="S418" s="221"/>
      <c r="T418" s="221"/>
      <c r="U418" s="221"/>
      <c r="V418" s="221"/>
      <c r="W418" s="221"/>
      <c r="X418" s="221"/>
      <c r="Y418" s="221"/>
      <c r="Z418" s="221"/>
      <c r="AA418" s="221"/>
      <c r="AB418" s="221"/>
      <c r="AC418" s="221"/>
      <c r="AD418" s="222"/>
    </row>
    <row r="419" spans="4:30" customFormat="1" x14ac:dyDescent="0.25">
      <c r="D419" s="240"/>
      <c r="E419" s="241"/>
      <c r="F419" s="241"/>
      <c r="G419" s="241"/>
      <c r="H419" s="241"/>
      <c r="I419" s="241"/>
      <c r="J419" s="241"/>
      <c r="K419" s="241"/>
      <c r="L419" s="242"/>
      <c r="M419" s="220"/>
      <c r="N419" s="221"/>
      <c r="O419" s="221"/>
      <c r="P419" s="221"/>
      <c r="Q419" s="221"/>
      <c r="R419" s="221"/>
      <c r="S419" s="221"/>
      <c r="T419" s="221"/>
      <c r="U419" s="221"/>
      <c r="V419" s="221"/>
      <c r="W419" s="221"/>
      <c r="X419" s="221"/>
      <c r="Y419" s="221"/>
      <c r="Z419" s="221"/>
      <c r="AA419" s="221"/>
      <c r="AB419" s="221"/>
      <c r="AC419" s="221"/>
      <c r="AD419" s="222"/>
    </row>
    <row r="420" spans="4:30" customFormat="1" x14ac:dyDescent="0.25">
      <c r="D420" s="240"/>
      <c r="E420" s="241"/>
      <c r="F420" s="241"/>
      <c r="G420" s="241"/>
      <c r="H420" s="241"/>
      <c r="I420" s="241"/>
      <c r="J420" s="241"/>
      <c r="K420" s="241"/>
      <c r="L420" s="242"/>
      <c r="M420" s="220"/>
      <c r="N420" s="221"/>
      <c r="O420" s="221"/>
      <c r="P420" s="221"/>
      <c r="Q420" s="221"/>
      <c r="R420" s="221"/>
      <c r="S420" s="221"/>
      <c r="T420" s="221"/>
      <c r="U420" s="221"/>
      <c r="V420" s="221"/>
      <c r="W420" s="221"/>
      <c r="X420" s="221"/>
      <c r="Y420" s="221"/>
      <c r="Z420" s="221"/>
      <c r="AA420" s="221"/>
      <c r="AB420" s="221"/>
      <c r="AC420" s="221"/>
      <c r="AD420" s="222"/>
    </row>
    <row r="421" spans="4:30" customFormat="1" x14ac:dyDescent="0.25">
      <c r="D421" s="240"/>
      <c r="E421" s="241"/>
      <c r="F421" s="241"/>
      <c r="G421" s="241"/>
      <c r="H421" s="241"/>
      <c r="I421" s="241"/>
      <c r="J421" s="241"/>
      <c r="K421" s="241"/>
      <c r="L421" s="242"/>
      <c r="M421" s="220"/>
      <c r="N421" s="221"/>
      <c r="O421" s="221"/>
      <c r="P421" s="221"/>
      <c r="Q421" s="221"/>
      <c r="R421" s="221"/>
      <c r="S421" s="221"/>
      <c r="T421" s="221"/>
      <c r="U421" s="221"/>
      <c r="V421" s="221"/>
      <c r="W421" s="221"/>
      <c r="X421" s="221"/>
      <c r="Y421" s="221"/>
      <c r="Z421" s="221"/>
      <c r="AA421" s="221"/>
      <c r="AB421" s="221"/>
      <c r="AC421" s="221"/>
      <c r="AD421" s="222"/>
    </row>
    <row r="422" spans="4:30" customFormat="1" x14ac:dyDescent="0.25">
      <c r="D422" s="240"/>
      <c r="E422" s="241"/>
      <c r="F422" s="241"/>
      <c r="G422" s="241"/>
      <c r="H422" s="241"/>
      <c r="I422" s="241"/>
      <c r="J422" s="241"/>
      <c r="K422" s="241"/>
      <c r="L422" s="242"/>
      <c r="M422" s="220"/>
      <c r="N422" s="221"/>
      <c r="O422" s="221"/>
      <c r="P422" s="221"/>
      <c r="Q422" s="221"/>
      <c r="R422" s="221"/>
      <c r="S422" s="221"/>
      <c r="T422" s="221"/>
      <c r="U422" s="221"/>
      <c r="V422" s="221"/>
      <c r="W422" s="221"/>
      <c r="X422" s="221"/>
      <c r="Y422" s="221"/>
      <c r="Z422" s="221"/>
      <c r="AA422" s="221"/>
      <c r="AB422" s="221"/>
      <c r="AC422" s="221"/>
      <c r="AD422" s="222"/>
    </row>
    <row r="423" spans="4:30" customFormat="1" x14ac:dyDescent="0.25">
      <c r="D423" s="240"/>
      <c r="E423" s="241"/>
      <c r="F423" s="241"/>
      <c r="G423" s="241"/>
      <c r="H423" s="241"/>
      <c r="I423" s="241"/>
      <c r="J423" s="241"/>
      <c r="K423" s="241"/>
      <c r="L423" s="242"/>
      <c r="M423" s="220"/>
      <c r="N423" s="221"/>
      <c r="O423" s="221"/>
      <c r="P423" s="221"/>
      <c r="Q423" s="221"/>
      <c r="R423" s="221"/>
      <c r="S423" s="221"/>
      <c r="T423" s="221"/>
      <c r="U423" s="221"/>
      <c r="V423" s="221"/>
      <c r="W423" s="221"/>
      <c r="X423" s="221"/>
      <c r="Y423" s="221"/>
      <c r="Z423" s="221"/>
      <c r="AA423" s="221"/>
      <c r="AB423" s="221"/>
      <c r="AC423" s="221"/>
      <c r="AD423" s="222"/>
    </row>
    <row r="424" spans="4:30" customFormat="1" ht="15.75" thickBot="1" x14ac:dyDescent="0.3">
      <c r="D424" s="243"/>
      <c r="E424" s="244"/>
      <c r="F424" s="244"/>
      <c r="G424" s="244"/>
      <c r="H424" s="244"/>
      <c r="I424" s="244"/>
      <c r="J424" s="244"/>
      <c r="K424" s="244"/>
      <c r="L424" s="245"/>
      <c r="M424" s="223"/>
      <c r="N424" s="224"/>
      <c r="O424" s="224"/>
      <c r="P424" s="224"/>
      <c r="Q424" s="224"/>
      <c r="R424" s="224"/>
      <c r="S424" s="224"/>
      <c r="T424" s="224"/>
      <c r="U424" s="224"/>
      <c r="V424" s="224"/>
      <c r="W424" s="224"/>
      <c r="X424" s="224"/>
      <c r="Y424" s="224"/>
      <c r="Z424" s="224"/>
      <c r="AA424" s="224"/>
      <c r="AB424" s="224"/>
      <c r="AC424" s="224"/>
      <c r="AD424" s="225"/>
    </row>
    <row r="425" spans="4:30" customFormat="1" ht="15.75" thickBot="1" x14ac:dyDescent="0.3"/>
    <row r="426" spans="4:30" customFormat="1" x14ac:dyDescent="0.25">
      <c r="D426" s="237" t="str">
        <f>IF(OR(M289="",O289=""),"10º Lugar",IF(M289&lt;O289,E287,P287))</f>
        <v>FCB BARCELONA 15</v>
      </c>
      <c r="E426" s="238"/>
      <c r="F426" s="238"/>
      <c r="G426" s="238"/>
      <c r="H426" s="238"/>
      <c r="I426" s="238"/>
      <c r="J426" s="238"/>
      <c r="K426" s="238"/>
      <c r="L426" s="239"/>
      <c r="M426" s="217" t="s">
        <v>81</v>
      </c>
      <c r="N426" s="218"/>
      <c r="O426" s="218"/>
      <c r="P426" s="218"/>
      <c r="Q426" s="218"/>
      <c r="R426" s="218"/>
      <c r="S426" s="218"/>
      <c r="T426" s="218"/>
      <c r="U426" s="218"/>
      <c r="V426" s="218"/>
      <c r="W426" s="218"/>
      <c r="X426" s="218"/>
      <c r="Y426" s="218"/>
      <c r="Z426" s="218"/>
      <c r="AA426" s="218"/>
      <c r="AB426" s="218"/>
      <c r="AC426" s="218"/>
      <c r="AD426" s="219"/>
    </row>
    <row r="427" spans="4:30" customFormat="1" x14ac:dyDescent="0.25">
      <c r="D427" s="240"/>
      <c r="E427" s="241"/>
      <c r="F427" s="241"/>
      <c r="G427" s="241"/>
      <c r="H427" s="241"/>
      <c r="I427" s="241"/>
      <c r="J427" s="241"/>
      <c r="K427" s="241"/>
      <c r="L427" s="242"/>
      <c r="M427" s="220"/>
      <c r="N427" s="221"/>
      <c r="O427" s="221"/>
      <c r="P427" s="221"/>
      <c r="Q427" s="221"/>
      <c r="R427" s="221"/>
      <c r="S427" s="221"/>
      <c r="T427" s="221"/>
      <c r="U427" s="221"/>
      <c r="V427" s="221"/>
      <c r="W427" s="221"/>
      <c r="X427" s="221"/>
      <c r="Y427" s="221"/>
      <c r="Z427" s="221"/>
      <c r="AA427" s="221"/>
      <c r="AB427" s="221"/>
      <c r="AC427" s="221"/>
      <c r="AD427" s="222"/>
    </row>
    <row r="428" spans="4:30" customFormat="1" x14ac:dyDescent="0.25">
      <c r="D428" s="240"/>
      <c r="E428" s="241"/>
      <c r="F428" s="241"/>
      <c r="G428" s="241"/>
      <c r="H428" s="241"/>
      <c r="I428" s="241"/>
      <c r="J428" s="241"/>
      <c r="K428" s="241"/>
      <c r="L428" s="242"/>
      <c r="M428" s="220"/>
      <c r="N428" s="221"/>
      <c r="O428" s="221"/>
      <c r="P428" s="221"/>
      <c r="Q428" s="221"/>
      <c r="R428" s="221"/>
      <c r="S428" s="221"/>
      <c r="T428" s="221"/>
      <c r="U428" s="221"/>
      <c r="V428" s="221"/>
      <c r="W428" s="221"/>
      <c r="X428" s="221"/>
      <c r="Y428" s="221"/>
      <c r="Z428" s="221"/>
      <c r="AA428" s="221"/>
      <c r="AB428" s="221"/>
      <c r="AC428" s="221"/>
      <c r="AD428" s="222"/>
    </row>
    <row r="429" spans="4:30" customFormat="1" x14ac:dyDescent="0.25">
      <c r="D429" s="240"/>
      <c r="E429" s="241"/>
      <c r="F429" s="241"/>
      <c r="G429" s="241"/>
      <c r="H429" s="241"/>
      <c r="I429" s="241"/>
      <c r="J429" s="241"/>
      <c r="K429" s="241"/>
      <c r="L429" s="242"/>
      <c r="M429" s="220"/>
      <c r="N429" s="221"/>
      <c r="O429" s="221"/>
      <c r="P429" s="221"/>
      <c r="Q429" s="221"/>
      <c r="R429" s="221"/>
      <c r="S429" s="221"/>
      <c r="T429" s="221"/>
      <c r="U429" s="221"/>
      <c r="V429" s="221"/>
      <c r="W429" s="221"/>
      <c r="X429" s="221"/>
      <c r="Y429" s="221"/>
      <c r="Z429" s="221"/>
      <c r="AA429" s="221"/>
      <c r="AB429" s="221"/>
      <c r="AC429" s="221"/>
      <c r="AD429" s="222"/>
    </row>
    <row r="430" spans="4:30" customFormat="1" x14ac:dyDescent="0.25">
      <c r="D430" s="240"/>
      <c r="E430" s="241"/>
      <c r="F430" s="241"/>
      <c r="G430" s="241"/>
      <c r="H430" s="241"/>
      <c r="I430" s="241"/>
      <c r="J430" s="241"/>
      <c r="K430" s="241"/>
      <c r="L430" s="242"/>
      <c r="M430" s="220"/>
      <c r="N430" s="221"/>
      <c r="O430" s="221"/>
      <c r="P430" s="221"/>
      <c r="Q430" s="221"/>
      <c r="R430" s="221"/>
      <c r="S430" s="221"/>
      <c r="T430" s="221"/>
      <c r="U430" s="221"/>
      <c r="V430" s="221"/>
      <c r="W430" s="221"/>
      <c r="X430" s="221"/>
      <c r="Y430" s="221"/>
      <c r="Z430" s="221"/>
      <c r="AA430" s="221"/>
      <c r="AB430" s="221"/>
      <c r="AC430" s="221"/>
      <c r="AD430" s="222"/>
    </row>
    <row r="431" spans="4:30" customFormat="1" x14ac:dyDescent="0.25">
      <c r="D431" s="240"/>
      <c r="E431" s="241"/>
      <c r="F431" s="241"/>
      <c r="G431" s="241"/>
      <c r="H431" s="241"/>
      <c r="I431" s="241"/>
      <c r="J431" s="241"/>
      <c r="K431" s="241"/>
      <c r="L431" s="242"/>
      <c r="M431" s="220"/>
      <c r="N431" s="221"/>
      <c r="O431" s="221"/>
      <c r="P431" s="221"/>
      <c r="Q431" s="221"/>
      <c r="R431" s="221"/>
      <c r="S431" s="221"/>
      <c r="T431" s="221"/>
      <c r="U431" s="221"/>
      <c r="V431" s="221"/>
      <c r="W431" s="221"/>
      <c r="X431" s="221"/>
      <c r="Y431" s="221"/>
      <c r="Z431" s="221"/>
      <c r="AA431" s="221"/>
      <c r="AB431" s="221"/>
      <c r="AC431" s="221"/>
      <c r="AD431" s="222"/>
    </row>
    <row r="432" spans="4:30" customFormat="1" x14ac:dyDescent="0.25">
      <c r="D432" s="240"/>
      <c r="E432" s="241"/>
      <c r="F432" s="241"/>
      <c r="G432" s="241"/>
      <c r="H432" s="241"/>
      <c r="I432" s="241"/>
      <c r="J432" s="241"/>
      <c r="K432" s="241"/>
      <c r="L432" s="242"/>
      <c r="M432" s="220"/>
      <c r="N432" s="221"/>
      <c r="O432" s="221"/>
      <c r="P432" s="221"/>
      <c r="Q432" s="221"/>
      <c r="R432" s="221"/>
      <c r="S432" s="221"/>
      <c r="T432" s="221"/>
      <c r="U432" s="221"/>
      <c r="V432" s="221"/>
      <c r="W432" s="221"/>
      <c r="X432" s="221"/>
      <c r="Y432" s="221"/>
      <c r="Z432" s="221"/>
      <c r="AA432" s="221"/>
      <c r="AB432" s="221"/>
      <c r="AC432" s="221"/>
      <c r="AD432" s="222"/>
    </row>
    <row r="433" spans="4:30" customFormat="1" x14ac:dyDescent="0.25">
      <c r="D433" s="240"/>
      <c r="E433" s="241"/>
      <c r="F433" s="241"/>
      <c r="G433" s="241"/>
      <c r="H433" s="241"/>
      <c r="I433" s="241"/>
      <c r="J433" s="241"/>
      <c r="K433" s="241"/>
      <c r="L433" s="242"/>
      <c r="M433" s="220"/>
      <c r="N433" s="221"/>
      <c r="O433" s="221"/>
      <c r="P433" s="221"/>
      <c r="Q433" s="221"/>
      <c r="R433" s="221"/>
      <c r="S433" s="221"/>
      <c r="T433" s="221"/>
      <c r="U433" s="221"/>
      <c r="V433" s="221"/>
      <c r="W433" s="221"/>
      <c r="X433" s="221"/>
      <c r="Y433" s="221"/>
      <c r="Z433" s="221"/>
      <c r="AA433" s="221"/>
      <c r="AB433" s="221"/>
      <c r="AC433" s="221"/>
      <c r="AD433" s="222"/>
    </row>
    <row r="434" spans="4:30" customFormat="1" x14ac:dyDescent="0.25">
      <c r="D434" s="240"/>
      <c r="E434" s="241"/>
      <c r="F434" s="241"/>
      <c r="G434" s="241"/>
      <c r="H434" s="241"/>
      <c r="I434" s="241"/>
      <c r="J434" s="241"/>
      <c r="K434" s="241"/>
      <c r="L434" s="242"/>
      <c r="M434" s="220"/>
      <c r="N434" s="221"/>
      <c r="O434" s="221"/>
      <c r="P434" s="221"/>
      <c r="Q434" s="221"/>
      <c r="R434" s="221"/>
      <c r="S434" s="221"/>
      <c r="T434" s="221"/>
      <c r="U434" s="221"/>
      <c r="V434" s="221"/>
      <c r="W434" s="221"/>
      <c r="X434" s="221"/>
      <c r="Y434" s="221"/>
      <c r="Z434" s="221"/>
      <c r="AA434" s="221"/>
      <c r="AB434" s="221"/>
      <c r="AC434" s="221"/>
      <c r="AD434" s="222"/>
    </row>
    <row r="435" spans="4:30" customFormat="1" ht="15.75" thickBot="1" x14ac:dyDescent="0.3">
      <c r="D435" s="243"/>
      <c r="E435" s="244"/>
      <c r="F435" s="244"/>
      <c r="G435" s="244"/>
      <c r="H435" s="244"/>
      <c r="I435" s="244"/>
      <c r="J435" s="244"/>
      <c r="K435" s="244"/>
      <c r="L435" s="245"/>
      <c r="M435" s="223"/>
      <c r="N435" s="224"/>
      <c r="O435" s="224"/>
      <c r="P435" s="224"/>
      <c r="Q435" s="224"/>
      <c r="R435" s="224"/>
      <c r="S435" s="224"/>
      <c r="T435" s="224"/>
      <c r="U435" s="224"/>
      <c r="V435" s="224"/>
      <c r="W435" s="224"/>
      <c r="X435" s="224"/>
      <c r="Y435" s="224"/>
      <c r="Z435" s="224"/>
      <c r="AA435" s="224"/>
      <c r="AB435" s="224"/>
      <c r="AC435" s="224"/>
      <c r="AD435" s="225"/>
    </row>
  </sheetData>
  <sheetProtection password="D90E" sheet="1" objects="1" scenarios="1"/>
  <mergeCells count="241">
    <mergeCell ref="D393:L402"/>
    <mergeCell ref="M393:AD402"/>
    <mergeCell ref="D404:L413"/>
    <mergeCell ref="M404:AD413"/>
    <mergeCell ref="D415:L424"/>
    <mergeCell ref="M415:AD424"/>
    <mergeCell ref="D426:L435"/>
    <mergeCell ref="M426:AD435"/>
    <mergeCell ref="D338:L347"/>
    <mergeCell ref="M338:AD347"/>
    <mergeCell ref="D349:L358"/>
    <mergeCell ref="M349:AD358"/>
    <mergeCell ref="D360:L369"/>
    <mergeCell ref="M360:AD369"/>
    <mergeCell ref="D371:L380"/>
    <mergeCell ref="M371:AD380"/>
    <mergeCell ref="D382:L391"/>
    <mergeCell ref="M382:AD391"/>
    <mergeCell ref="P316:AD316"/>
    <mergeCell ref="D318:AD320"/>
    <mergeCell ref="K321:R322"/>
    <mergeCell ref="D323:D324"/>
    <mergeCell ref="E323:L324"/>
    <mergeCell ref="P323:AD324"/>
    <mergeCell ref="P325:AD325"/>
    <mergeCell ref="D327:L336"/>
    <mergeCell ref="M327:AD336"/>
    <mergeCell ref="D305:D306"/>
    <mergeCell ref="E305:L306"/>
    <mergeCell ref="P305:AD306"/>
    <mergeCell ref="P307:AD307"/>
    <mergeCell ref="D309:AD311"/>
    <mergeCell ref="K312:R313"/>
    <mergeCell ref="D314:D315"/>
    <mergeCell ref="E314:L315"/>
    <mergeCell ref="P314:AD315"/>
    <mergeCell ref="P289:AD289"/>
    <mergeCell ref="D291:AD293"/>
    <mergeCell ref="K294:R295"/>
    <mergeCell ref="D296:D297"/>
    <mergeCell ref="E296:L297"/>
    <mergeCell ref="P296:AD297"/>
    <mergeCell ref="P298:AD298"/>
    <mergeCell ref="D300:AD302"/>
    <mergeCell ref="K303:R304"/>
    <mergeCell ref="P277:AD277"/>
    <mergeCell ref="D278:D279"/>
    <mergeCell ref="E278:L279"/>
    <mergeCell ref="P278:AD279"/>
    <mergeCell ref="P280:AD280"/>
    <mergeCell ref="D282:AD284"/>
    <mergeCell ref="K285:R286"/>
    <mergeCell ref="D287:D288"/>
    <mergeCell ref="E287:L288"/>
    <mergeCell ref="P287:AD288"/>
    <mergeCell ref="D266:D267"/>
    <mergeCell ref="E266:L267"/>
    <mergeCell ref="P266:AD267"/>
    <mergeCell ref="P268:AD268"/>
    <mergeCell ref="D270:AD272"/>
    <mergeCell ref="K273:R274"/>
    <mergeCell ref="D275:D276"/>
    <mergeCell ref="E275:L276"/>
    <mergeCell ref="P275:AD276"/>
    <mergeCell ref="P239:AD240"/>
    <mergeCell ref="P241:AD241"/>
    <mergeCell ref="D242:D243"/>
    <mergeCell ref="E242:L243"/>
    <mergeCell ref="P242:AD243"/>
    <mergeCell ref="P244:AD244"/>
    <mergeCell ref="D246:AD248"/>
    <mergeCell ref="K249:R250"/>
    <mergeCell ref="D251:D252"/>
    <mergeCell ref="E251:L252"/>
    <mergeCell ref="P251:AD252"/>
    <mergeCell ref="E224:L225"/>
    <mergeCell ref="P224:AD225"/>
    <mergeCell ref="P226:AD226"/>
    <mergeCell ref="P265:AD265"/>
    <mergeCell ref="D233:D234"/>
    <mergeCell ref="E233:L234"/>
    <mergeCell ref="P233:AD234"/>
    <mergeCell ref="P235:AD235"/>
    <mergeCell ref="D236:D237"/>
    <mergeCell ref="E236:L237"/>
    <mergeCell ref="P236:AD237"/>
    <mergeCell ref="P238:AD238"/>
    <mergeCell ref="D239:D240"/>
    <mergeCell ref="E239:L240"/>
    <mergeCell ref="P253:AD253"/>
    <mergeCell ref="D254:D255"/>
    <mergeCell ref="E254:L255"/>
    <mergeCell ref="P254:AD255"/>
    <mergeCell ref="P256:AD256"/>
    <mergeCell ref="D258:AD260"/>
    <mergeCell ref="K261:R262"/>
    <mergeCell ref="D263:D264"/>
    <mergeCell ref="E263:L264"/>
    <mergeCell ref="P263:AD264"/>
    <mergeCell ref="D228:AD230"/>
    <mergeCell ref="K231:R232"/>
    <mergeCell ref="D202:E202"/>
    <mergeCell ref="I202:P202"/>
    <mergeCell ref="D204:P205"/>
    <mergeCell ref="D207:E207"/>
    <mergeCell ref="I207:P207"/>
    <mergeCell ref="D208:E208"/>
    <mergeCell ref="I208:P208"/>
    <mergeCell ref="D210:AD212"/>
    <mergeCell ref="K213:R214"/>
    <mergeCell ref="D215:D216"/>
    <mergeCell ref="E215:L216"/>
    <mergeCell ref="P215:AD216"/>
    <mergeCell ref="P217:AD217"/>
    <mergeCell ref="D218:D219"/>
    <mergeCell ref="E218:L219"/>
    <mergeCell ref="P218:AD219"/>
    <mergeCell ref="P220:AD220"/>
    <mergeCell ref="D221:D222"/>
    <mergeCell ref="E221:L222"/>
    <mergeCell ref="P221:AD222"/>
    <mergeCell ref="P223:AD223"/>
    <mergeCell ref="D224:D225"/>
    <mergeCell ref="D195:E195"/>
    <mergeCell ref="I195:P195"/>
    <mergeCell ref="D196:E196"/>
    <mergeCell ref="I196:P196"/>
    <mergeCell ref="D198:P199"/>
    <mergeCell ref="D201:E201"/>
    <mergeCell ref="I201:P201"/>
    <mergeCell ref="D186:P187"/>
    <mergeCell ref="D189:E189"/>
    <mergeCell ref="I189:P189"/>
    <mergeCell ref="D190:E190"/>
    <mergeCell ref="I190:P190"/>
    <mergeCell ref="D192:P193"/>
    <mergeCell ref="D166:O167"/>
    <mergeCell ref="D178:E178"/>
    <mergeCell ref="I178:P178"/>
    <mergeCell ref="D180:P181"/>
    <mergeCell ref="D183:E183"/>
    <mergeCell ref="I183:P183"/>
    <mergeCell ref="D184:E184"/>
    <mergeCell ref="I184:P184"/>
    <mergeCell ref="D174:P175"/>
    <mergeCell ref="D177:E177"/>
    <mergeCell ref="I177:P177"/>
    <mergeCell ref="D153:P154"/>
    <mergeCell ref="D156:E156"/>
    <mergeCell ref="I156:P156"/>
    <mergeCell ref="D157:E157"/>
    <mergeCell ref="I157:P157"/>
    <mergeCell ref="D144:E144"/>
    <mergeCell ref="I144:P144"/>
    <mergeCell ref="D145:E145"/>
    <mergeCell ref="I145:P145"/>
    <mergeCell ref="D147:P148"/>
    <mergeCell ref="D150:E150"/>
    <mergeCell ref="I150:P150"/>
    <mergeCell ref="D141:P142"/>
    <mergeCell ref="D127:E127"/>
    <mergeCell ref="I127:P127"/>
    <mergeCell ref="D129:P130"/>
    <mergeCell ref="D132:E132"/>
    <mergeCell ref="I132:P132"/>
    <mergeCell ref="D133:E133"/>
    <mergeCell ref="I133:P133"/>
    <mergeCell ref="D151:E151"/>
    <mergeCell ref="I151:P151"/>
    <mergeCell ref="D115:O116"/>
    <mergeCell ref="D123:P124"/>
    <mergeCell ref="D126:E126"/>
    <mergeCell ref="I126:P126"/>
    <mergeCell ref="D135:P136"/>
    <mergeCell ref="D138:E138"/>
    <mergeCell ref="I138:P138"/>
    <mergeCell ref="D139:E139"/>
    <mergeCell ref="I139:P139"/>
    <mergeCell ref="D102:P103"/>
    <mergeCell ref="D105:E105"/>
    <mergeCell ref="I105:P105"/>
    <mergeCell ref="D106:E106"/>
    <mergeCell ref="I106:P106"/>
    <mergeCell ref="D93:E93"/>
    <mergeCell ref="I93:P93"/>
    <mergeCell ref="D94:E94"/>
    <mergeCell ref="I94:P94"/>
    <mergeCell ref="D96:P97"/>
    <mergeCell ref="D99:E99"/>
    <mergeCell ref="I99:P99"/>
    <mergeCell ref="D90:P91"/>
    <mergeCell ref="D76:E76"/>
    <mergeCell ref="I76:P76"/>
    <mergeCell ref="D78:P79"/>
    <mergeCell ref="D81:E81"/>
    <mergeCell ref="I81:P81"/>
    <mergeCell ref="D82:E82"/>
    <mergeCell ref="I82:P82"/>
    <mergeCell ref="D100:E100"/>
    <mergeCell ref="I100:P100"/>
    <mergeCell ref="D64:O65"/>
    <mergeCell ref="D72:P73"/>
    <mergeCell ref="D75:E75"/>
    <mergeCell ref="I75:P75"/>
    <mergeCell ref="D84:P85"/>
    <mergeCell ref="D87:E87"/>
    <mergeCell ref="I87:P87"/>
    <mergeCell ref="D88:E88"/>
    <mergeCell ref="I88:P88"/>
    <mergeCell ref="D51:P52"/>
    <mergeCell ref="D54:E54"/>
    <mergeCell ref="I54:P54"/>
    <mergeCell ref="D55:E55"/>
    <mergeCell ref="I55:P55"/>
    <mergeCell ref="D42:E42"/>
    <mergeCell ref="I42:P42"/>
    <mergeCell ref="D43:E43"/>
    <mergeCell ref="I43:P43"/>
    <mergeCell ref="D45:P46"/>
    <mergeCell ref="D48:E48"/>
    <mergeCell ref="I48:P48"/>
    <mergeCell ref="D39:P40"/>
    <mergeCell ref="D25:E25"/>
    <mergeCell ref="I25:P25"/>
    <mergeCell ref="D27:P28"/>
    <mergeCell ref="D30:E30"/>
    <mergeCell ref="I30:P30"/>
    <mergeCell ref="D31:E31"/>
    <mergeCell ref="I31:P31"/>
    <mergeCell ref="D49:E49"/>
    <mergeCell ref="I49:P49"/>
    <mergeCell ref="B2:Q4"/>
    <mergeCell ref="D13:O14"/>
    <mergeCell ref="D21:P22"/>
    <mergeCell ref="D24:E24"/>
    <mergeCell ref="I24:P24"/>
    <mergeCell ref="D33:P34"/>
    <mergeCell ref="D36:E36"/>
    <mergeCell ref="I36:P36"/>
    <mergeCell ref="D37:E37"/>
    <mergeCell ref="I37:P3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2014-07-25T19:02:26Z</dcterms:created>
  <dcterms:modified xsi:type="dcterms:W3CDTF">2015-09-23T03:47:58Z</dcterms:modified>
</cp:coreProperties>
</file>