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45" windowWidth="15315" windowHeight="7995" activeTab="2"/>
  </bookViews>
  <sheets>
    <sheet name="1ª fase" sheetId="4" r:id="rId1"/>
    <sheet name="2ª FASE" sheetId="1" r:id="rId2"/>
    <sheet name="3ª FASE" sheetId="3" r:id="rId3"/>
    <sheet name="3º LUGARES" sheetId="2" r:id="rId4"/>
  </sheets>
  <definedNames>
    <definedName name="_xlnm._FilterDatabase" localSheetId="0" hidden="1">'1ª fase'!$C$23:$J$134</definedName>
  </definedNames>
  <calcPr calcId="125725"/>
</workbook>
</file>

<file path=xl/calcChain.xml><?xml version="1.0" encoding="utf-8"?>
<calcChain xmlns="http://schemas.openxmlformats.org/spreadsheetml/2006/main">
  <c r="O131" i="3"/>
  <c r="D131"/>
  <c r="D45"/>
  <c r="O81"/>
  <c r="O73"/>
  <c r="O72"/>
  <c r="O46"/>
  <c r="D46"/>
  <c r="O45"/>
  <c r="O44"/>
  <c r="D44"/>
  <c r="O43"/>
  <c r="D43"/>
  <c r="C33"/>
  <c r="N19"/>
  <c r="AC285" i="1"/>
  <c r="AC286"/>
  <c r="AC287"/>
  <c r="AD320"/>
  <c r="AC317"/>
  <c r="AC320"/>
  <c r="AC319"/>
  <c r="AC318"/>
  <c r="W448"/>
  <c r="W447"/>
  <c r="AC447"/>
  <c r="W446"/>
  <c r="AC446"/>
  <c r="W445"/>
  <c r="AC445"/>
  <c r="W416"/>
  <c r="AD416"/>
  <c r="W415"/>
  <c r="AC415"/>
  <c r="W414"/>
  <c r="AC414"/>
  <c r="W413"/>
  <c r="AC413"/>
  <c r="W383"/>
  <c r="AC383"/>
  <c r="W382"/>
  <c r="AC382"/>
  <c r="W381"/>
  <c r="AC381"/>
  <c r="W352"/>
  <c r="AC352"/>
  <c r="W351"/>
  <c r="AC351"/>
  <c r="W350"/>
  <c r="AC350"/>
  <c r="W349"/>
  <c r="AC349"/>
  <c r="W320"/>
  <c r="W319"/>
  <c r="W318"/>
  <c r="W317"/>
  <c r="W288"/>
  <c r="AC288"/>
  <c r="W287"/>
  <c r="W286"/>
  <c r="W285"/>
  <c r="W256"/>
  <c r="AC256"/>
  <c r="W255"/>
  <c r="AC255"/>
  <c r="W254"/>
  <c r="AD254"/>
  <c r="AC254"/>
  <c r="W253"/>
  <c r="AC253"/>
  <c r="W224"/>
  <c r="AC224"/>
  <c r="W223"/>
  <c r="AC223"/>
  <c r="W222"/>
  <c r="AC222"/>
  <c r="W221"/>
  <c r="AC221"/>
  <c r="W192"/>
  <c r="AC192"/>
  <c r="W191"/>
  <c r="AD191"/>
  <c r="W190"/>
  <c r="AC190"/>
  <c r="W189"/>
  <c r="AC189"/>
  <c r="W160"/>
  <c r="AC160"/>
  <c r="W159"/>
  <c r="AC159"/>
  <c r="W158"/>
  <c r="AC158"/>
  <c r="W157"/>
  <c r="AC157"/>
  <c r="W127"/>
  <c r="AC127"/>
  <c r="W128"/>
  <c r="AC128"/>
  <c r="W126"/>
  <c r="AD126"/>
  <c r="W125"/>
  <c r="AC125"/>
  <c r="W96"/>
  <c r="AC96"/>
  <c r="W95"/>
  <c r="AC95"/>
  <c r="W94"/>
  <c r="AD94"/>
  <c r="W93"/>
  <c r="AC93"/>
  <c r="W64"/>
  <c r="AC64"/>
  <c r="W63"/>
  <c r="AC63"/>
  <c r="W62"/>
  <c r="AC62"/>
  <c r="W61"/>
  <c r="AC61"/>
  <c r="W32"/>
  <c r="AC32"/>
  <c r="W31"/>
  <c r="AC31"/>
  <c r="W30"/>
  <c r="AC30"/>
  <c r="W29"/>
  <c r="AC29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37"/>
  <c r="Q37"/>
  <c r="Q166" l="1"/>
  <c r="Q167"/>
  <c r="Q168"/>
  <c r="Q169"/>
  <c r="Q170"/>
  <c r="Q171"/>
  <c r="Q172"/>
  <c r="Q173"/>
  <c r="Q174"/>
  <c r="Q175"/>
  <c r="Q176"/>
  <c r="Q177"/>
  <c r="X159" s="1"/>
  <c r="Q178"/>
  <c r="X160"/>
  <c r="X158"/>
  <c r="V448"/>
  <c r="V447"/>
  <c r="V446"/>
  <c r="V445"/>
  <c r="V416"/>
  <c r="V415"/>
  <c r="V414"/>
  <c r="V413"/>
  <c r="V384"/>
  <c r="V383"/>
  <c r="V382"/>
  <c r="V381"/>
  <c r="V352"/>
  <c r="V351"/>
  <c r="V350"/>
  <c r="V349"/>
  <c r="V320"/>
  <c r="V319"/>
  <c r="V318"/>
  <c r="V317"/>
  <c r="V288"/>
  <c r="V287"/>
  <c r="V286"/>
  <c r="V285"/>
  <c r="V256"/>
  <c r="V255"/>
  <c r="V254"/>
  <c r="V253"/>
  <c r="V224"/>
  <c r="V223"/>
  <c r="V222"/>
  <c r="V221"/>
  <c r="V192"/>
  <c r="V191"/>
  <c r="V190"/>
  <c r="V189"/>
  <c r="V160"/>
  <c r="V159"/>
  <c r="V158"/>
  <c r="V157"/>
  <c r="V128"/>
  <c r="V127"/>
  <c r="V126"/>
  <c r="V125"/>
  <c r="V96"/>
  <c r="V95"/>
  <c r="V94"/>
  <c r="V93"/>
  <c r="V61"/>
  <c r="V62"/>
  <c r="V63"/>
  <c r="V64"/>
  <c r="V32"/>
  <c r="V31"/>
  <c r="V30"/>
  <c r="V29"/>
  <c r="O103" i="3"/>
  <c r="D103"/>
  <c r="O96"/>
  <c r="D96"/>
  <c r="C312" l="1"/>
  <c r="C301"/>
  <c r="C290"/>
  <c r="C279"/>
  <c r="C268"/>
  <c r="C257"/>
  <c r="C246"/>
  <c r="C235"/>
  <c r="C224"/>
  <c r="C213"/>
  <c r="C202"/>
  <c r="C191"/>
  <c r="C180"/>
  <c r="C169"/>
  <c r="C158"/>
  <c r="C147"/>
  <c r="O145"/>
  <c r="O138"/>
  <c r="D145"/>
  <c r="D138"/>
  <c r="D124"/>
  <c r="O124"/>
  <c r="O117"/>
  <c r="O110"/>
  <c r="D117"/>
  <c r="D110"/>
  <c r="D81"/>
  <c r="O80"/>
  <c r="D80"/>
  <c r="O89"/>
  <c r="D89"/>
  <c r="O88"/>
  <c r="D88"/>
  <c r="D72"/>
  <c r="D73"/>
  <c r="D64"/>
  <c r="O64"/>
  <c r="D65"/>
  <c r="O65"/>
  <c r="O57"/>
  <c r="D57"/>
  <c r="O56"/>
  <c r="D56"/>
  <c r="O55"/>
  <c r="D55"/>
  <c r="O54"/>
  <c r="D54"/>
  <c r="N36"/>
  <c r="C36"/>
  <c r="N35"/>
  <c r="C35"/>
  <c r="N34"/>
  <c r="C34"/>
  <c r="N33"/>
  <c r="N32"/>
  <c r="C32"/>
  <c r="N31"/>
  <c r="C31"/>
  <c r="N30"/>
  <c r="C30"/>
  <c r="N29"/>
  <c r="C29"/>
  <c r="Q467" i="1" l="1"/>
  <c r="Q466"/>
  <c r="I466"/>
  <c r="D466"/>
  <c r="Q465"/>
  <c r="I465"/>
  <c r="D465"/>
  <c r="Q464"/>
  <c r="Q463"/>
  <c r="Q462"/>
  <c r="Q461"/>
  <c r="Q460"/>
  <c r="I460"/>
  <c r="D460"/>
  <c r="Q459"/>
  <c r="I459"/>
  <c r="D459"/>
  <c r="Q458"/>
  <c r="Q457"/>
  <c r="Q456"/>
  <c r="Q455"/>
  <c r="Q454"/>
  <c r="I454"/>
  <c r="D454"/>
  <c r="Q453"/>
  <c r="I453"/>
  <c r="AA448" s="1"/>
  <c r="D453"/>
  <c r="AB448" s="1"/>
  <c r="Q452"/>
  <c r="Q451"/>
  <c r="Q450"/>
  <c r="Q449"/>
  <c r="AD448"/>
  <c r="AC448"/>
  <c r="X448"/>
  <c r="AF448" s="1"/>
  <c r="AD447"/>
  <c r="X447"/>
  <c r="AF447" s="1"/>
  <c r="AD446"/>
  <c r="AD445"/>
  <c r="Q443"/>
  <c r="Q442"/>
  <c r="Q441"/>
  <c r="Q435"/>
  <c r="Q434"/>
  <c r="I434"/>
  <c r="D434"/>
  <c r="Q433"/>
  <c r="I433"/>
  <c r="D433"/>
  <c r="Q432"/>
  <c r="Q431"/>
  <c r="Q430"/>
  <c r="Q429"/>
  <c r="Q428"/>
  <c r="I428"/>
  <c r="D428"/>
  <c r="Q427"/>
  <c r="I427"/>
  <c r="D427"/>
  <c r="Q426"/>
  <c r="Q425"/>
  <c r="Q424"/>
  <c r="Q423"/>
  <c r="Q422"/>
  <c r="I422"/>
  <c r="D422"/>
  <c r="Q421"/>
  <c r="I421"/>
  <c r="AA416" s="1"/>
  <c r="D421"/>
  <c r="Q420"/>
  <c r="Q419"/>
  <c r="Q418"/>
  <c r="Q417"/>
  <c r="AC416"/>
  <c r="X416"/>
  <c r="AD415"/>
  <c r="AD414"/>
  <c r="X414"/>
  <c r="AD413"/>
  <c r="Q411"/>
  <c r="Q410"/>
  <c r="Q409"/>
  <c r="Q403"/>
  <c r="Q402"/>
  <c r="I402"/>
  <c r="D402"/>
  <c r="Q401"/>
  <c r="I401"/>
  <c r="D401"/>
  <c r="Q400"/>
  <c r="Q399"/>
  <c r="Q398"/>
  <c r="Q397"/>
  <c r="Q396"/>
  <c r="I396"/>
  <c r="D396"/>
  <c r="Q395"/>
  <c r="I395"/>
  <c r="D395"/>
  <c r="Q394"/>
  <c r="Q393"/>
  <c r="Q392"/>
  <c r="Q391"/>
  <c r="Q390"/>
  <c r="I390"/>
  <c r="D390"/>
  <c r="Q389"/>
  <c r="I389"/>
  <c r="AA384" s="1"/>
  <c r="D389"/>
  <c r="Q388"/>
  <c r="Q387"/>
  <c r="Q386"/>
  <c r="Q385"/>
  <c r="AD384"/>
  <c r="AC384"/>
  <c r="X384"/>
  <c r="W384"/>
  <c r="AD383"/>
  <c r="AD382"/>
  <c r="AD381"/>
  <c r="Q379"/>
  <c r="Q378"/>
  <c r="Q377"/>
  <c r="Q371"/>
  <c r="Q370"/>
  <c r="I370"/>
  <c r="D370"/>
  <c r="Q369"/>
  <c r="I369"/>
  <c r="D369"/>
  <c r="Q368"/>
  <c r="Q367"/>
  <c r="Q366"/>
  <c r="Q365"/>
  <c r="Q364"/>
  <c r="I364"/>
  <c r="D364"/>
  <c r="Q363"/>
  <c r="I363"/>
  <c r="D363"/>
  <c r="Q362"/>
  <c r="Q361"/>
  <c r="Q360"/>
  <c r="Q359"/>
  <c r="Q358"/>
  <c r="I358"/>
  <c r="D358"/>
  <c r="Q357"/>
  <c r="I357"/>
  <c r="D357"/>
  <c r="Y352" s="1"/>
  <c r="Q356"/>
  <c r="Q355"/>
  <c r="Q354"/>
  <c r="Q353"/>
  <c r="AD352"/>
  <c r="X352"/>
  <c r="AD351"/>
  <c r="X351"/>
  <c r="AD350"/>
  <c r="AD349"/>
  <c r="Q347"/>
  <c r="Q346"/>
  <c r="Q345"/>
  <c r="Q339"/>
  <c r="Q338"/>
  <c r="I338"/>
  <c r="D338"/>
  <c r="Q337"/>
  <c r="I337"/>
  <c r="D337"/>
  <c r="Q336"/>
  <c r="Q335"/>
  <c r="Q334"/>
  <c r="Q333"/>
  <c r="Q332"/>
  <c r="I332"/>
  <c r="D332"/>
  <c r="Q331"/>
  <c r="I331"/>
  <c r="D331"/>
  <c r="Q330"/>
  <c r="Q329"/>
  <c r="Q328"/>
  <c r="Q327"/>
  <c r="Q326"/>
  <c r="I326"/>
  <c r="D326"/>
  <c r="Q325"/>
  <c r="X317" s="1"/>
  <c r="I325"/>
  <c r="D325"/>
  <c r="AB320" s="1"/>
  <c r="Q324"/>
  <c r="Q323"/>
  <c r="Q322"/>
  <c r="Q321"/>
  <c r="X320"/>
  <c r="AD319"/>
  <c r="X319"/>
  <c r="AD318"/>
  <c r="AD317"/>
  <c r="Q315"/>
  <c r="Q314"/>
  <c r="Q313"/>
  <c r="Q307"/>
  <c r="Q306"/>
  <c r="I306"/>
  <c r="D306"/>
  <c r="Q305"/>
  <c r="I305"/>
  <c r="D305"/>
  <c r="Q304"/>
  <c r="Q303"/>
  <c r="Q302"/>
  <c r="Q301"/>
  <c r="Q300"/>
  <c r="I300"/>
  <c r="D300"/>
  <c r="Q299"/>
  <c r="I299"/>
  <c r="D299"/>
  <c r="Q298"/>
  <c r="Q297"/>
  <c r="Q296"/>
  <c r="Q295"/>
  <c r="Q294"/>
  <c r="I294"/>
  <c r="D294"/>
  <c r="Q293"/>
  <c r="I293"/>
  <c r="AA288" s="1"/>
  <c r="D293"/>
  <c r="AD288"/>
  <c r="X288"/>
  <c r="AD287"/>
  <c r="X287"/>
  <c r="AD286"/>
  <c r="AD285"/>
  <c r="Q274"/>
  <c r="I274"/>
  <c r="D274"/>
  <c r="Q273"/>
  <c r="I273"/>
  <c r="D273"/>
  <c r="Q272"/>
  <c r="Q271"/>
  <c r="Q270"/>
  <c r="Q269"/>
  <c r="Q268"/>
  <c r="I268"/>
  <c r="D268"/>
  <c r="Q267"/>
  <c r="I267"/>
  <c r="D267"/>
  <c r="Q266"/>
  <c r="Q265"/>
  <c r="Q264"/>
  <c r="Q263"/>
  <c r="Q262"/>
  <c r="I262"/>
  <c r="D262"/>
  <c r="AB256" s="1"/>
  <c r="Q261"/>
  <c r="I261"/>
  <c r="AA256" s="1"/>
  <c r="D261"/>
  <c r="Q260"/>
  <c r="Q259"/>
  <c r="Q258"/>
  <c r="Q257"/>
  <c r="AD256"/>
  <c r="X256"/>
  <c r="AD255"/>
  <c r="AD253"/>
  <c r="Q251"/>
  <c r="Q250"/>
  <c r="Q249"/>
  <c r="Q243"/>
  <c r="Q242"/>
  <c r="I242"/>
  <c r="D242"/>
  <c r="Q241"/>
  <c r="I241"/>
  <c r="D241"/>
  <c r="Q240"/>
  <c r="Q239"/>
  <c r="Q238"/>
  <c r="Q237"/>
  <c r="Q236"/>
  <c r="I236"/>
  <c r="D236"/>
  <c r="Q235"/>
  <c r="I235"/>
  <c r="D235"/>
  <c r="Q234"/>
  <c r="Q233"/>
  <c r="Q232"/>
  <c r="Q231"/>
  <c r="Q230"/>
  <c r="I230"/>
  <c r="D230"/>
  <c r="X223"/>
  <c r="AF223" s="1"/>
  <c r="Q229"/>
  <c r="I229"/>
  <c r="D229"/>
  <c r="X224"/>
  <c r="Q228"/>
  <c r="Q227"/>
  <c r="Q226"/>
  <c r="Q225"/>
  <c r="AD224"/>
  <c r="AD223"/>
  <c r="AD222"/>
  <c r="AD221"/>
  <c r="Q219"/>
  <c r="Q218"/>
  <c r="Q217"/>
  <c r="AD160"/>
  <c r="AD159"/>
  <c r="AD158"/>
  <c r="AD157"/>
  <c r="AD192"/>
  <c r="AD190"/>
  <c r="AD189"/>
  <c r="AC191"/>
  <c r="X192"/>
  <c r="AD128"/>
  <c r="AD127"/>
  <c r="AD125"/>
  <c r="AC126"/>
  <c r="X128"/>
  <c r="AD96"/>
  <c r="AD95"/>
  <c r="AD93"/>
  <c r="AC94"/>
  <c r="X96"/>
  <c r="AD64"/>
  <c r="AD63"/>
  <c r="AD62"/>
  <c r="AD61"/>
  <c r="X64"/>
  <c r="AD32"/>
  <c r="AD31"/>
  <c r="AD30"/>
  <c r="AD29"/>
  <c r="X32"/>
  <c r="Z224" l="1"/>
  <c r="Z223"/>
  <c r="Z256"/>
  <c r="AB288"/>
  <c r="Z288"/>
  <c r="Z320"/>
  <c r="AB384"/>
  <c r="Y416"/>
  <c r="Y448"/>
  <c r="AA224"/>
  <c r="AA223"/>
  <c r="AB224"/>
  <c r="AB223"/>
  <c r="Y224"/>
  <c r="Y223"/>
  <c r="AA352"/>
  <c r="AB352"/>
  <c r="Y256"/>
  <c r="Y288"/>
  <c r="AA320"/>
  <c r="Y320"/>
  <c r="Z352"/>
  <c r="Z384"/>
  <c r="Y384"/>
  <c r="Z416"/>
  <c r="AB416"/>
  <c r="Z448"/>
  <c r="AA447"/>
  <c r="AB447"/>
  <c r="Y447"/>
  <c r="Z447"/>
  <c r="Z445"/>
  <c r="Y445"/>
  <c r="AB445"/>
  <c r="AA445"/>
  <c r="AA446"/>
  <c r="AB446"/>
  <c r="Z446"/>
  <c r="Y446"/>
  <c r="X415"/>
  <c r="AF415" s="1"/>
  <c r="Y415"/>
  <c r="Z415"/>
  <c r="AA415"/>
  <c r="AB415"/>
  <c r="X383"/>
  <c r="AF383" s="1"/>
  <c r="AA383"/>
  <c r="AB383"/>
  <c r="Y383"/>
  <c r="Z383"/>
  <c r="Y351"/>
  <c r="Z351"/>
  <c r="AA351"/>
  <c r="AB351"/>
  <c r="Y319"/>
  <c r="Z319"/>
  <c r="AA319"/>
  <c r="AB319"/>
  <c r="Y287"/>
  <c r="Z287"/>
  <c r="AA287"/>
  <c r="AB287"/>
  <c r="X255"/>
  <c r="AF255" s="1"/>
  <c r="Y255"/>
  <c r="Z255"/>
  <c r="AA255"/>
  <c r="AB255"/>
  <c r="AA414"/>
  <c r="Z414"/>
  <c r="Y414"/>
  <c r="AB414"/>
  <c r="Z413"/>
  <c r="Y413"/>
  <c r="AB413"/>
  <c r="AA413"/>
  <c r="Z381"/>
  <c r="Y381"/>
  <c r="AB381"/>
  <c r="AA381"/>
  <c r="AA382"/>
  <c r="Z382"/>
  <c r="Y382"/>
  <c r="AB382"/>
  <c r="Z349"/>
  <c r="Y349"/>
  <c r="AB349"/>
  <c r="AA349"/>
  <c r="AA350"/>
  <c r="AB350"/>
  <c r="Z350"/>
  <c r="Y350"/>
  <c r="AA286"/>
  <c r="Z286"/>
  <c r="Y286"/>
  <c r="AB286"/>
  <c r="Z285"/>
  <c r="Y285"/>
  <c r="AB285"/>
  <c r="AA285"/>
  <c r="Z317"/>
  <c r="Y317"/>
  <c r="AB317"/>
  <c r="AA317"/>
  <c r="AA318"/>
  <c r="AB318"/>
  <c r="Z318"/>
  <c r="Y318"/>
  <c r="AA254"/>
  <c r="AB254"/>
  <c r="Z254"/>
  <c r="Y254"/>
  <c r="Z253"/>
  <c r="Y253"/>
  <c r="AB253"/>
  <c r="AA253"/>
  <c r="X221"/>
  <c r="Z221"/>
  <c r="Y221"/>
  <c r="AB221"/>
  <c r="AA221"/>
  <c r="AA222"/>
  <c r="Z222"/>
  <c r="Y222"/>
  <c r="AB222"/>
  <c r="X445"/>
  <c r="AF445" s="1"/>
  <c r="X446"/>
  <c r="AF446" s="1"/>
  <c r="AE416"/>
  <c r="X286"/>
  <c r="AF286" s="1"/>
  <c r="AF224"/>
  <c r="AF384"/>
  <c r="AF414"/>
  <c r="AF319"/>
  <c r="AF320"/>
  <c r="AE319"/>
  <c r="AG319" s="1"/>
  <c r="AF287"/>
  <c r="AE288"/>
  <c r="AG288" s="1"/>
  <c r="AF256"/>
  <c r="AF221"/>
  <c r="AF416"/>
  <c r="AF351"/>
  <c r="AF352"/>
  <c r="AF317"/>
  <c r="AF288"/>
  <c r="AE351"/>
  <c r="X350"/>
  <c r="AF350" s="1"/>
  <c r="AE318"/>
  <c r="AE320"/>
  <c r="AG320" s="1"/>
  <c r="AE286"/>
  <c r="AE287"/>
  <c r="AG287" s="1"/>
  <c r="X285"/>
  <c r="AF285" s="1"/>
  <c r="AE222"/>
  <c r="AE223"/>
  <c r="AG223" s="1"/>
  <c r="AE224"/>
  <c r="AG224" s="1"/>
  <c r="AE253"/>
  <c r="AE254"/>
  <c r="X253"/>
  <c r="AE285"/>
  <c r="AE383"/>
  <c r="AE414"/>
  <c r="AG414" s="1"/>
  <c r="X413"/>
  <c r="AF413" s="1"/>
  <c r="AE445"/>
  <c r="AE447"/>
  <c r="AG447" s="1"/>
  <c r="AE221"/>
  <c r="AG221" s="1"/>
  <c r="X222"/>
  <c r="AE256"/>
  <c r="AG256" s="1"/>
  <c r="X254"/>
  <c r="AF254" s="1"/>
  <c r="AE317"/>
  <c r="AG317" s="1"/>
  <c r="X318"/>
  <c r="AE350"/>
  <c r="AG350" s="1"/>
  <c r="AG351"/>
  <c r="AE352"/>
  <c r="AG352" s="1"/>
  <c r="X349"/>
  <c r="AF349" s="1"/>
  <c r="AE381"/>
  <c r="AE382"/>
  <c r="AE413"/>
  <c r="AE415"/>
  <c r="AG415" s="1"/>
  <c r="AE446"/>
  <c r="AE255"/>
  <c r="AG255" s="1"/>
  <c r="AE349"/>
  <c r="AE448"/>
  <c r="AG448" s="1"/>
  <c r="X382"/>
  <c r="AF382" s="1"/>
  <c r="AG416"/>
  <c r="AE384"/>
  <c r="AG384" s="1"/>
  <c r="X381"/>
  <c r="AG383"/>
  <c r="AG445"/>
  <c r="Q211"/>
  <c r="Q210"/>
  <c r="I210"/>
  <c r="D210"/>
  <c r="Q209"/>
  <c r="X191" s="1"/>
  <c r="I209"/>
  <c r="D209"/>
  <c r="Q208"/>
  <c r="Q207"/>
  <c r="Q206"/>
  <c r="Q205"/>
  <c r="Q204"/>
  <c r="I204"/>
  <c r="D204"/>
  <c r="Q203"/>
  <c r="I203"/>
  <c r="D203"/>
  <c r="Q202"/>
  <c r="Q201"/>
  <c r="Q200"/>
  <c r="Q199"/>
  <c r="Q198"/>
  <c r="I198"/>
  <c r="D198"/>
  <c r="Q197"/>
  <c r="I197"/>
  <c r="D197"/>
  <c r="Q196"/>
  <c r="Q195"/>
  <c r="Q194"/>
  <c r="Q193"/>
  <c r="AF192"/>
  <c r="Q187"/>
  <c r="Q186"/>
  <c r="Q185"/>
  <c r="Q179"/>
  <c r="I178"/>
  <c r="D178"/>
  <c r="I177"/>
  <c r="D177"/>
  <c r="I172"/>
  <c r="D172"/>
  <c r="I171"/>
  <c r="D171"/>
  <c r="I166"/>
  <c r="D166"/>
  <c r="Q165"/>
  <c r="I165"/>
  <c r="D165"/>
  <c r="Q164"/>
  <c r="Q163"/>
  <c r="Q162"/>
  <c r="Q161"/>
  <c r="AF160"/>
  <c r="AF159"/>
  <c r="Q155"/>
  <c r="Q154"/>
  <c r="Q153"/>
  <c r="Y157" l="1"/>
  <c r="Y159"/>
  <c r="Y160"/>
  <c r="Y158"/>
  <c r="AB191"/>
  <c r="AB192"/>
  <c r="Y192"/>
  <c r="Y191"/>
  <c r="Z160"/>
  <c r="AA159"/>
  <c r="AA160"/>
  <c r="Z159"/>
  <c r="AA158"/>
  <c r="Z158"/>
  <c r="AB160"/>
  <c r="AB159"/>
  <c r="AB158"/>
  <c r="Z192"/>
  <c r="Z191"/>
  <c r="AA191"/>
  <c r="AA192"/>
  <c r="AG285"/>
  <c r="AG446"/>
  <c r="AH447" s="1"/>
  <c r="AI447" s="1"/>
  <c r="AG286"/>
  <c r="AG254"/>
  <c r="AA190"/>
  <c r="Z190"/>
  <c r="Y190"/>
  <c r="AB190"/>
  <c r="Z189"/>
  <c r="Y189"/>
  <c r="AB189"/>
  <c r="AA189"/>
  <c r="X157"/>
  <c r="AA157"/>
  <c r="Z157"/>
  <c r="AB157"/>
  <c r="AF191"/>
  <c r="AF157"/>
  <c r="AH446"/>
  <c r="AI446" s="1"/>
  <c r="AH445"/>
  <c r="AI445" s="1"/>
  <c r="AG413"/>
  <c r="AH414" s="1"/>
  <c r="AI414" s="1"/>
  <c r="AG381"/>
  <c r="AF381"/>
  <c r="AH286"/>
  <c r="AI286" s="1"/>
  <c r="AH288"/>
  <c r="AI288" s="1"/>
  <c r="AH287"/>
  <c r="AI287" s="1"/>
  <c r="AH285"/>
  <c r="AI285" s="1"/>
  <c r="AG253"/>
  <c r="AF253"/>
  <c r="AG318"/>
  <c r="AH318" s="1"/>
  <c r="AI318" s="1"/>
  <c r="AF318"/>
  <c r="AG222"/>
  <c r="AH222" s="1"/>
  <c r="AI222" s="1"/>
  <c r="AF222"/>
  <c r="AF158"/>
  <c r="AG382"/>
  <c r="AG349"/>
  <c r="X190"/>
  <c r="AF190" s="1"/>
  <c r="X189"/>
  <c r="AF189" s="1"/>
  <c r="AE159"/>
  <c r="AG159" s="1"/>
  <c r="AE158"/>
  <c r="AG158" s="1"/>
  <c r="AE157"/>
  <c r="AG157" s="1"/>
  <c r="AE160"/>
  <c r="AG160" s="1"/>
  <c r="AE190"/>
  <c r="AG190" s="1"/>
  <c r="AE192"/>
  <c r="AG192" s="1"/>
  <c r="AE189"/>
  <c r="AE191"/>
  <c r="AG191" s="1"/>
  <c r="AH448" l="1"/>
  <c r="AI448" s="1"/>
  <c r="AH415"/>
  <c r="AI415" s="1"/>
  <c r="AH416"/>
  <c r="AI416" s="1"/>
  <c r="AH159"/>
  <c r="AI159" s="1"/>
  <c r="AH157"/>
  <c r="AI157" s="1"/>
  <c r="AH158"/>
  <c r="AI158" s="1"/>
  <c r="AH160"/>
  <c r="AI160" s="1"/>
  <c r="AH413"/>
  <c r="AI413" s="1"/>
  <c r="AH382"/>
  <c r="AI382" s="1"/>
  <c r="AH384"/>
  <c r="AI384" s="1"/>
  <c r="AH381"/>
  <c r="AI381" s="1"/>
  <c r="AH383"/>
  <c r="AI383" s="1"/>
  <c r="AH350"/>
  <c r="AI350" s="1"/>
  <c r="AH352"/>
  <c r="AI352" s="1"/>
  <c r="AH349"/>
  <c r="AI349" s="1"/>
  <c r="AH351"/>
  <c r="AI351" s="1"/>
  <c r="AH320"/>
  <c r="AI320" s="1"/>
  <c r="AH319"/>
  <c r="AI319" s="1"/>
  <c r="AH317"/>
  <c r="AI317" s="1"/>
  <c r="AH255"/>
  <c r="AI255" s="1"/>
  <c r="AH254"/>
  <c r="AI254" s="1"/>
  <c r="AH256"/>
  <c r="AI256" s="1"/>
  <c r="AH253"/>
  <c r="AI253" s="1"/>
  <c r="AH224"/>
  <c r="AI224" s="1"/>
  <c r="AH223"/>
  <c r="AI223" s="1"/>
  <c r="AH221"/>
  <c r="AI221" s="1"/>
  <c r="AG189"/>
  <c r="AH191" s="1"/>
  <c r="AI191" s="1"/>
  <c r="AH192" l="1"/>
  <c r="AI192" s="1"/>
  <c r="AH190"/>
  <c r="AI190" s="1"/>
  <c r="AH189"/>
  <c r="AI189" s="1"/>
  <c r="Q57"/>
  <c r="AF128" l="1"/>
  <c r="Q147"/>
  <c r="Q146"/>
  <c r="I146"/>
  <c r="D146"/>
  <c r="Q145"/>
  <c r="X127" s="1"/>
  <c r="AF127" s="1"/>
  <c r="I145"/>
  <c r="D145"/>
  <c r="Q144"/>
  <c r="Q143"/>
  <c r="Q142"/>
  <c r="Q141"/>
  <c r="Q140"/>
  <c r="I140"/>
  <c r="D140"/>
  <c r="Q139"/>
  <c r="I139"/>
  <c r="D139"/>
  <c r="Q138"/>
  <c r="Q137"/>
  <c r="Q136"/>
  <c r="Q135"/>
  <c r="Q134"/>
  <c r="I134"/>
  <c r="D134"/>
  <c r="Q133"/>
  <c r="I133"/>
  <c r="D133"/>
  <c r="Q132"/>
  <c r="Q131"/>
  <c r="Q130"/>
  <c r="Q129"/>
  <c r="Q123"/>
  <c r="Q122"/>
  <c r="Q121"/>
  <c r="Q115"/>
  <c r="Q114"/>
  <c r="I114"/>
  <c r="D114"/>
  <c r="Q113"/>
  <c r="X95" s="1"/>
  <c r="I113"/>
  <c r="D113"/>
  <c r="Q112"/>
  <c r="Q111"/>
  <c r="Q110"/>
  <c r="Q109"/>
  <c r="Q108"/>
  <c r="I108"/>
  <c r="D108"/>
  <c r="Q107"/>
  <c r="I107"/>
  <c r="D107"/>
  <c r="Q106"/>
  <c r="Q105"/>
  <c r="Q104"/>
  <c r="Q103"/>
  <c r="Q102"/>
  <c r="I102"/>
  <c r="D102"/>
  <c r="Q101"/>
  <c r="I101"/>
  <c r="D101"/>
  <c r="Q100"/>
  <c r="Q99"/>
  <c r="Q98"/>
  <c r="Q97"/>
  <c r="Q91"/>
  <c r="Q90"/>
  <c r="Q89"/>
  <c r="Q83"/>
  <c r="Q82"/>
  <c r="I82"/>
  <c r="D82"/>
  <c r="Q81"/>
  <c r="X63" s="1"/>
  <c r="I81"/>
  <c r="D81"/>
  <c r="Q80"/>
  <c r="Q79"/>
  <c r="Q78"/>
  <c r="Q77"/>
  <c r="Q76"/>
  <c r="I76"/>
  <c r="D76"/>
  <c r="Q75"/>
  <c r="I75"/>
  <c r="D75"/>
  <c r="Q74"/>
  <c r="Q73"/>
  <c r="Q72"/>
  <c r="Q71"/>
  <c r="Q70"/>
  <c r="I70"/>
  <c r="D70"/>
  <c r="Q69"/>
  <c r="I69"/>
  <c r="D69"/>
  <c r="Q68"/>
  <c r="Q67"/>
  <c r="Q66"/>
  <c r="Q65"/>
  <c r="Q59"/>
  <c r="Q58"/>
  <c r="Q51"/>
  <c r="Q50"/>
  <c r="I50"/>
  <c r="D50"/>
  <c r="Q49"/>
  <c r="X31" s="1"/>
  <c r="I49"/>
  <c r="D49"/>
  <c r="Q48"/>
  <c r="Q47"/>
  <c r="Q46"/>
  <c r="Q45"/>
  <c r="Q44"/>
  <c r="I44"/>
  <c r="D44"/>
  <c r="Q43"/>
  <c r="I43"/>
  <c r="D43"/>
  <c r="Q42"/>
  <c r="Q41"/>
  <c r="Q40"/>
  <c r="Q39"/>
  <c r="Q38"/>
  <c r="I38"/>
  <c r="D38"/>
  <c r="I37"/>
  <c r="D37"/>
  <c r="X93" l="1"/>
  <c r="X30"/>
  <c r="Y29"/>
  <c r="X62"/>
  <c r="X94"/>
  <c r="X29"/>
  <c r="X126"/>
  <c r="AF126" s="1"/>
  <c r="X61"/>
  <c r="X125"/>
  <c r="AF125" s="1"/>
  <c r="Y125"/>
  <c r="AE61"/>
  <c r="AG61" s="1"/>
  <c r="AE31"/>
  <c r="AE96"/>
  <c r="AG96" s="1"/>
  <c r="AE125"/>
  <c r="AE64"/>
  <c r="AE32"/>
  <c r="AE95"/>
  <c r="AE127"/>
  <c r="AE128"/>
  <c r="AE93"/>
  <c r="AE63"/>
  <c r="AE30"/>
  <c r="AG30" s="1"/>
  <c r="AE29"/>
  <c r="AE62"/>
  <c r="AE94"/>
  <c r="AE126"/>
  <c r="AB32"/>
  <c r="AG32"/>
  <c r="AB64"/>
  <c r="AB96"/>
  <c r="AB128"/>
  <c r="Z125"/>
  <c r="AA125"/>
  <c r="AB125"/>
  <c r="Y126"/>
  <c r="Z126"/>
  <c r="AA126"/>
  <c r="AB126"/>
  <c r="Y127"/>
  <c r="Z127"/>
  <c r="AA127"/>
  <c r="AB127"/>
  <c r="Y128"/>
  <c r="Z128"/>
  <c r="AA128"/>
  <c r="Y93"/>
  <c r="Z93"/>
  <c r="AA93"/>
  <c r="AB93"/>
  <c r="Y94"/>
  <c r="Z94"/>
  <c r="AA94"/>
  <c r="AB94"/>
  <c r="Y95"/>
  <c r="Z95"/>
  <c r="AA95"/>
  <c r="AB95"/>
  <c r="Y96"/>
  <c r="Z96"/>
  <c r="AA96"/>
  <c r="Y61"/>
  <c r="Z61"/>
  <c r="AA61"/>
  <c r="AB61"/>
  <c r="Y62"/>
  <c r="Z62"/>
  <c r="AA62"/>
  <c r="AB62"/>
  <c r="Y63"/>
  <c r="Z63"/>
  <c r="AA63"/>
  <c r="AB63"/>
  <c r="Y64"/>
  <c r="Z64"/>
  <c r="AA64"/>
  <c r="Z29"/>
  <c r="AA29"/>
  <c r="AB29"/>
  <c r="Y30"/>
  <c r="Z30"/>
  <c r="AA30"/>
  <c r="AB30"/>
  <c r="Y31"/>
  <c r="Z31"/>
  <c r="AA31"/>
  <c r="AB31"/>
  <c r="Y32"/>
  <c r="Z32"/>
  <c r="AA32"/>
  <c r="AG93" l="1"/>
  <c r="AG62"/>
  <c r="AG31"/>
  <c r="AG29"/>
  <c r="AG64"/>
  <c r="AG94"/>
  <c r="AG63"/>
  <c r="AG95"/>
  <c r="AG125"/>
  <c r="AG127"/>
  <c r="AG128"/>
  <c r="AG126"/>
  <c r="AF93"/>
  <c r="AF95"/>
  <c r="AF94"/>
  <c r="AF96"/>
  <c r="AF61"/>
  <c r="AF63"/>
  <c r="AF62"/>
  <c r="AF64"/>
  <c r="AF31"/>
  <c r="AF30"/>
  <c r="AF29"/>
  <c r="AF32"/>
  <c r="H287" l="1"/>
  <c r="F31" i="2" s="1"/>
  <c r="J287" i="1"/>
  <c r="H31" i="2" s="1"/>
  <c r="E286" i="1"/>
  <c r="N16" i="3" s="1"/>
  <c r="K287" i="1"/>
  <c r="I31" i="2" s="1"/>
  <c r="E287" i="1"/>
  <c r="C31" i="2" s="1"/>
  <c r="M287" i="1"/>
  <c r="K31" i="2" s="1"/>
  <c r="L287" i="1"/>
  <c r="J31" i="2" s="1"/>
  <c r="N287" i="1"/>
  <c r="L31" i="2" s="1"/>
  <c r="F287" i="1"/>
  <c r="O287"/>
  <c r="M31" i="2" s="1"/>
  <c r="G287" i="1"/>
  <c r="E31" i="2" s="1"/>
  <c r="I287" i="1"/>
  <c r="G31" i="2" s="1"/>
  <c r="H159" i="1"/>
  <c r="F27" i="2" s="1"/>
  <c r="E158" i="1"/>
  <c r="N20" i="3" s="1"/>
  <c r="E157" i="1"/>
  <c r="C11" i="3" s="1"/>
  <c r="AH125" i="1"/>
  <c r="AI125" s="1"/>
  <c r="AH95"/>
  <c r="AI95" s="1"/>
  <c r="AH29"/>
  <c r="AI29" s="1"/>
  <c r="AH30"/>
  <c r="AI30" s="1"/>
  <c r="AH93"/>
  <c r="AI93" s="1"/>
  <c r="AH128"/>
  <c r="AI128" s="1"/>
  <c r="AH127"/>
  <c r="AI127" s="1"/>
  <c r="AH126"/>
  <c r="AI126" s="1"/>
  <c r="AH96"/>
  <c r="AI96" s="1"/>
  <c r="AH94"/>
  <c r="AI94" s="1"/>
  <c r="AH64"/>
  <c r="AI64" s="1"/>
  <c r="AH63"/>
  <c r="AI63" s="1"/>
  <c r="AH62"/>
  <c r="AI62" s="1"/>
  <c r="AH61"/>
  <c r="AI61" s="1"/>
  <c r="AH32"/>
  <c r="AI32" s="1"/>
  <c r="AH31"/>
  <c r="AI31" s="1"/>
  <c r="D31" i="2" l="1"/>
  <c r="C287" i="1"/>
  <c r="K286"/>
  <c r="N31" i="2"/>
  <c r="O286" i="1"/>
  <c r="L286"/>
  <c r="M286"/>
  <c r="N286"/>
  <c r="J286"/>
  <c r="F286"/>
  <c r="I286"/>
  <c r="H286"/>
  <c r="G286"/>
  <c r="L318"/>
  <c r="F318"/>
  <c r="O318"/>
  <c r="G318"/>
  <c r="M318"/>
  <c r="E318"/>
  <c r="N15" i="3" s="1"/>
  <c r="N318" i="1"/>
  <c r="K318"/>
  <c r="I318"/>
  <c r="J318"/>
  <c r="H318"/>
  <c r="M413"/>
  <c r="E413"/>
  <c r="C19" i="3" s="1"/>
  <c r="O413" i="1"/>
  <c r="F413"/>
  <c r="N413"/>
  <c r="L413"/>
  <c r="G413"/>
  <c r="H413"/>
  <c r="K413"/>
  <c r="J413"/>
  <c r="I413"/>
  <c r="E383"/>
  <c r="C34" i="2" s="1"/>
  <c r="M383" i="1"/>
  <c r="K34" i="2" s="1"/>
  <c r="G383" i="1"/>
  <c r="E34" i="2" s="1"/>
  <c r="L383" i="1"/>
  <c r="J34" i="2" s="1"/>
  <c r="N383" i="1"/>
  <c r="L34" i="2" s="1"/>
  <c r="F383" i="1"/>
  <c r="O383"/>
  <c r="M34" i="2" s="1"/>
  <c r="H383" i="1"/>
  <c r="F34" i="2" s="1"/>
  <c r="K383" i="1"/>
  <c r="I34" i="2" s="1"/>
  <c r="J383" i="1"/>
  <c r="H34" i="2" s="1"/>
  <c r="I383" i="1"/>
  <c r="G34" i="2" s="1"/>
  <c r="M381" i="1"/>
  <c r="E381"/>
  <c r="C18" i="3" s="1"/>
  <c r="G381" i="1"/>
  <c r="O381"/>
  <c r="F381"/>
  <c r="N381"/>
  <c r="L381"/>
  <c r="K381"/>
  <c r="I381"/>
  <c r="H381"/>
  <c r="J381"/>
  <c r="M349"/>
  <c r="E349"/>
  <c r="C17" i="3" s="1"/>
  <c r="L349" i="1"/>
  <c r="G349"/>
  <c r="O349"/>
  <c r="F349"/>
  <c r="N349"/>
  <c r="J349"/>
  <c r="I349"/>
  <c r="H349"/>
  <c r="K349"/>
  <c r="G223"/>
  <c r="E29" i="2" s="1"/>
  <c r="O223" i="1"/>
  <c r="M29" i="2" s="1"/>
  <c r="M223" i="1"/>
  <c r="K29" i="2" s="1"/>
  <c r="E223" i="1"/>
  <c r="C29" i="2" s="1"/>
  <c r="N223" i="1"/>
  <c r="L29" i="2" s="1"/>
  <c r="F223" i="1"/>
  <c r="L223"/>
  <c r="J29" i="2" s="1"/>
  <c r="I223" i="1"/>
  <c r="G29" i="2" s="1"/>
  <c r="H223" i="1"/>
  <c r="F29" i="2" s="1"/>
  <c r="K223" i="1"/>
  <c r="I29" i="2" s="1"/>
  <c r="J223" i="1"/>
  <c r="H29" i="2" s="1"/>
  <c r="F384" i="1"/>
  <c r="N384"/>
  <c r="E384"/>
  <c r="O384"/>
  <c r="G384"/>
  <c r="L384"/>
  <c r="M384"/>
  <c r="I384"/>
  <c r="H384"/>
  <c r="K384"/>
  <c r="J384"/>
  <c r="L446"/>
  <c r="E446"/>
  <c r="N11" i="3" s="1"/>
  <c r="M446" i="1"/>
  <c r="O446"/>
  <c r="F446"/>
  <c r="G446"/>
  <c r="N446"/>
  <c r="H446"/>
  <c r="K446"/>
  <c r="J446"/>
  <c r="I446"/>
  <c r="F320"/>
  <c r="N320"/>
  <c r="L320"/>
  <c r="M320"/>
  <c r="E320"/>
  <c r="O320"/>
  <c r="G320"/>
  <c r="J320"/>
  <c r="K320"/>
  <c r="H320"/>
  <c r="I320"/>
  <c r="F222"/>
  <c r="N222"/>
  <c r="E222"/>
  <c r="N18" i="3" s="1"/>
  <c r="O222" i="1"/>
  <c r="G222"/>
  <c r="L222"/>
  <c r="M222"/>
  <c r="J222"/>
  <c r="H222"/>
  <c r="K222"/>
  <c r="I222"/>
  <c r="L350"/>
  <c r="G350"/>
  <c r="M350"/>
  <c r="E350"/>
  <c r="N14" i="3" s="1"/>
  <c r="N350" i="1"/>
  <c r="F350"/>
  <c r="O350"/>
  <c r="J350"/>
  <c r="I350"/>
  <c r="H350"/>
  <c r="K350"/>
  <c r="E415"/>
  <c r="C35" i="2" s="1"/>
  <c r="M415" i="1"/>
  <c r="K35" i="2" s="1"/>
  <c r="F415" i="1"/>
  <c r="L415"/>
  <c r="J35" i="2" s="1"/>
  <c r="N415" i="1"/>
  <c r="L35" i="2" s="1"/>
  <c r="O415" i="1"/>
  <c r="M35" i="2" s="1"/>
  <c r="G415" i="1"/>
  <c r="E35" i="2" s="1"/>
  <c r="H415" i="1"/>
  <c r="F35" i="2" s="1"/>
  <c r="K415" i="1"/>
  <c r="I35" i="2" s="1"/>
  <c r="J415" i="1"/>
  <c r="H35" i="2" s="1"/>
  <c r="I415" i="1"/>
  <c r="G35" i="2" s="1"/>
  <c r="E256" i="1"/>
  <c r="M256"/>
  <c r="G256"/>
  <c r="L256"/>
  <c r="N256"/>
  <c r="F256"/>
  <c r="O256"/>
  <c r="I256"/>
  <c r="H256"/>
  <c r="K256"/>
  <c r="J256"/>
  <c r="L382"/>
  <c r="M382"/>
  <c r="E382"/>
  <c r="N13" i="3" s="1"/>
  <c r="N382" i="1"/>
  <c r="F382"/>
  <c r="O382"/>
  <c r="G382"/>
  <c r="K382"/>
  <c r="I382"/>
  <c r="H382"/>
  <c r="J382"/>
  <c r="M445"/>
  <c r="E445"/>
  <c r="C20" i="3" s="1"/>
  <c r="L445" i="1"/>
  <c r="N445"/>
  <c r="G445"/>
  <c r="F445"/>
  <c r="O445"/>
  <c r="I445"/>
  <c r="H445"/>
  <c r="K445"/>
  <c r="J445"/>
  <c r="L224"/>
  <c r="G224"/>
  <c r="M224"/>
  <c r="E224"/>
  <c r="N224"/>
  <c r="F224"/>
  <c r="O224"/>
  <c r="H224"/>
  <c r="J224"/>
  <c r="K224"/>
  <c r="I224"/>
  <c r="F288"/>
  <c r="N288"/>
  <c r="G288"/>
  <c r="L288"/>
  <c r="M288"/>
  <c r="E288"/>
  <c r="O288"/>
  <c r="H288"/>
  <c r="I288"/>
  <c r="K288"/>
  <c r="J288"/>
  <c r="N253"/>
  <c r="F253"/>
  <c r="O253"/>
  <c r="E253"/>
  <c r="C14" i="3" s="1"/>
  <c r="M253" i="1"/>
  <c r="L253"/>
  <c r="G253"/>
  <c r="K253"/>
  <c r="I253"/>
  <c r="H253"/>
  <c r="J253"/>
  <c r="M285"/>
  <c r="E285"/>
  <c r="C15" i="3" s="1"/>
  <c r="O285" i="1"/>
  <c r="F285"/>
  <c r="N285"/>
  <c r="L285"/>
  <c r="G285"/>
  <c r="I285"/>
  <c r="J285"/>
  <c r="H285"/>
  <c r="K285"/>
  <c r="E319"/>
  <c r="C32" i="2" s="1"/>
  <c r="M319" i="1"/>
  <c r="K32" i="2" s="1"/>
  <c r="N319" i="1"/>
  <c r="L32" i="2" s="1"/>
  <c r="F319" i="1"/>
  <c r="O319"/>
  <c r="M32" i="2" s="1"/>
  <c r="G319" i="1"/>
  <c r="E32" i="2" s="1"/>
  <c r="L319" i="1"/>
  <c r="J32" i="2" s="1"/>
  <c r="K319" i="1"/>
  <c r="I32" i="2" s="1"/>
  <c r="H319" i="1"/>
  <c r="F32" i="2" s="1"/>
  <c r="J319" i="1"/>
  <c r="H32" i="2" s="1"/>
  <c r="I319" i="1"/>
  <c r="G32" i="2" s="1"/>
  <c r="L414" i="1"/>
  <c r="E414"/>
  <c r="N12" i="3" s="1"/>
  <c r="M414" i="1"/>
  <c r="G414"/>
  <c r="N414"/>
  <c r="O414"/>
  <c r="F414"/>
  <c r="J414"/>
  <c r="I414"/>
  <c r="H414"/>
  <c r="K414"/>
  <c r="G254"/>
  <c r="O254"/>
  <c r="E254"/>
  <c r="N17" i="3" s="1"/>
  <c r="N254" i="1"/>
  <c r="F254"/>
  <c r="L254"/>
  <c r="M254"/>
  <c r="I254"/>
  <c r="J254"/>
  <c r="H254"/>
  <c r="K254"/>
  <c r="L255"/>
  <c r="J30" i="2" s="1"/>
  <c r="M255" i="1"/>
  <c r="K30" i="2" s="1"/>
  <c r="E255" i="1"/>
  <c r="C30" i="2" s="1"/>
  <c r="N255" i="1"/>
  <c r="L30" i="2" s="1"/>
  <c r="F255" i="1"/>
  <c r="O255"/>
  <c r="M30" i="2" s="1"/>
  <c r="G255" i="1"/>
  <c r="E30" i="2" s="1"/>
  <c r="K255" i="1"/>
  <c r="I30" i="2" s="1"/>
  <c r="J255" i="1"/>
  <c r="H30" i="2" s="1"/>
  <c r="I255" i="1"/>
  <c r="G30" i="2" s="1"/>
  <c r="H255" i="1"/>
  <c r="F30" i="2" s="1"/>
  <c r="M317" i="1"/>
  <c r="E317"/>
  <c r="C16" i="3" s="1"/>
  <c r="N317" i="1"/>
  <c r="L317"/>
  <c r="G317"/>
  <c r="O317"/>
  <c r="F317"/>
  <c r="K317"/>
  <c r="J317"/>
  <c r="I317"/>
  <c r="H317"/>
  <c r="O221"/>
  <c r="G221"/>
  <c r="N221"/>
  <c r="M221"/>
  <c r="E221"/>
  <c r="C13" i="3" s="1"/>
  <c r="L221" i="1"/>
  <c r="F221"/>
  <c r="K221"/>
  <c r="I221"/>
  <c r="H221"/>
  <c r="J221"/>
  <c r="E351"/>
  <c r="C33" i="2" s="1"/>
  <c r="M351" i="1"/>
  <c r="K33" i="2" s="1"/>
  <c r="F351" i="1"/>
  <c r="O351"/>
  <c r="M33" i="2" s="1"/>
  <c r="G351" i="1"/>
  <c r="E33" i="2" s="1"/>
  <c r="L351" i="1"/>
  <c r="J33" i="2" s="1"/>
  <c r="N351" i="1"/>
  <c r="L33" i="2" s="1"/>
  <c r="H351" i="1"/>
  <c r="F33" i="2" s="1"/>
  <c r="K351" i="1"/>
  <c r="I33" i="2" s="1"/>
  <c r="J351" i="1"/>
  <c r="H33" i="2" s="1"/>
  <c r="I351" i="1"/>
  <c r="G33" i="2" s="1"/>
  <c r="F352" i="1"/>
  <c r="N352"/>
  <c r="M352"/>
  <c r="E352"/>
  <c r="O352"/>
  <c r="G352"/>
  <c r="L352"/>
  <c r="J352"/>
  <c r="I352"/>
  <c r="H352"/>
  <c r="K352"/>
  <c r="F416"/>
  <c r="N416"/>
  <c r="G416"/>
  <c r="L416"/>
  <c r="M416"/>
  <c r="E416"/>
  <c r="O416"/>
  <c r="H416"/>
  <c r="K416"/>
  <c r="J416"/>
  <c r="I416"/>
  <c r="F448"/>
  <c r="N448"/>
  <c r="G448"/>
  <c r="O448"/>
  <c r="E448"/>
  <c r="L448"/>
  <c r="M448"/>
  <c r="H448"/>
  <c r="J448"/>
  <c r="I448"/>
  <c r="K448"/>
  <c r="E447"/>
  <c r="C36" i="2" s="1"/>
  <c r="M447" i="1"/>
  <c r="K36" i="2" s="1"/>
  <c r="F447" i="1"/>
  <c r="N447"/>
  <c r="L36" i="2" s="1"/>
  <c r="G447" i="1"/>
  <c r="E36" i="2" s="1"/>
  <c r="L447" i="1"/>
  <c r="J36" i="2" s="1"/>
  <c r="O447" i="1"/>
  <c r="M36" i="2" s="1"/>
  <c r="J447" i="1"/>
  <c r="H36" i="2" s="1"/>
  <c r="H447" i="1"/>
  <c r="F36" i="2" s="1"/>
  <c r="K447" i="1"/>
  <c r="I36" i="2" s="1"/>
  <c r="I447" i="1"/>
  <c r="G36" i="2" s="1"/>
  <c r="E159" i="1"/>
  <c r="C27" i="2" s="1"/>
  <c r="J159" i="1"/>
  <c r="H27" i="2" s="1"/>
  <c r="O159" i="1"/>
  <c r="M27" i="2" s="1"/>
  <c r="I159" i="1"/>
  <c r="G27" i="2" s="1"/>
  <c r="G159" i="1"/>
  <c r="E27" i="2" s="1"/>
  <c r="M159" i="1"/>
  <c r="K27" i="2" s="1"/>
  <c r="N159" i="1"/>
  <c r="L27" i="2" s="1"/>
  <c r="K159" i="1"/>
  <c r="I27" i="2" s="1"/>
  <c r="L159" i="1"/>
  <c r="J27" i="2" s="1"/>
  <c r="F159" i="1"/>
  <c r="L189"/>
  <c r="O189"/>
  <c r="G189"/>
  <c r="N189"/>
  <c r="F189"/>
  <c r="M189"/>
  <c r="E189"/>
  <c r="C12" i="3" s="1"/>
  <c r="J189" i="1"/>
  <c r="K189"/>
  <c r="H189"/>
  <c r="I189"/>
  <c r="L157"/>
  <c r="O157"/>
  <c r="G157"/>
  <c r="N157"/>
  <c r="F157"/>
  <c r="M157"/>
  <c r="K157"/>
  <c r="J157"/>
  <c r="I157"/>
  <c r="H157"/>
  <c r="F191"/>
  <c r="N191"/>
  <c r="L28" i="2" s="1"/>
  <c r="G191" i="1"/>
  <c r="E28" i="2" s="1"/>
  <c r="O191" i="1"/>
  <c r="M28" i="2" s="1"/>
  <c r="L191" i="1"/>
  <c r="J28" i="2" s="1"/>
  <c r="E191" i="1"/>
  <c r="C28" i="2" s="1"/>
  <c r="M191" i="1"/>
  <c r="K28" i="2" s="1"/>
  <c r="K191" i="1"/>
  <c r="I28" i="2" s="1"/>
  <c r="I191" i="1"/>
  <c r="G28" i="2" s="1"/>
  <c r="H191" i="1"/>
  <c r="F28" i="2" s="1"/>
  <c r="J191" i="1"/>
  <c r="H28" i="2" s="1"/>
  <c r="M158" i="1"/>
  <c r="F158"/>
  <c r="N158"/>
  <c r="G158"/>
  <c r="O158"/>
  <c r="L158"/>
  <c r="I158"/>
  <c r="K158"/>
  <c r="J158"/>
  <c r="H158"/>
  <c r="E190"/>
  <c r="M190"/>
  <c r="F190"/>
  <c r="N190"/>
  <c r="G190"/>
  <c r="O190"/>
  <c r="L190"/>
  <c r="J190"/>
  <c r="H190"/>
  <c r="I190"/>
  <c r="K190"/>
  <c r="G160"/>
  <c r="O160"/>
  <c r="L160"/>
  <c r="E160"/>
  <c r="M160"/>
  <c r="F160"/>
  <c r="N160"/>
  <c r="K160"/>
  <c r="I160"/>
  <c r="H160"/>
  <c r="J160"/>
  <c r="G192"/>
  <c r="O192"/>
  <c r="L192"/>
  <c r="E192"/>
  <c r="M192"/>
  <c r="F192"/>
  <c r="N192"/>
  <c r="J192"/>
  <c r="I192"/>
  <c r="K192"/>
  <c r="H192"/>
  <c r="O125"/>
  <c r="N125"/>
  <c r="M125"/>
  <c r="L125"/>
  <c r="K125"/>
  <c r="J125"/>
  <c r="I125"/>
  <c r="H125"/>
  <c r="G125"/>
  <c r="F125"/>
  <c r="C125" s="1"/>
  <c r="E125"/>
  <c r="C10" i="3" s="1"/>
  <c r="O126" i="1"/>
  <c r="N126"/>
  <c r="M126"/>
  <c r="L126"/>
  <c r="K126"/>
  <c r="J126"/>
  <c r="I126"/>
  <c r="H126"/>
  <c r="G126"/>
  <c r="F126"/>
  <c r="C126" s="1"/>
  <c r="E126"/>
  <c r="N21" i="3" s="1"/>
  <c r="O127" i="1"/>
  <c r="M26" i="2" s="1"/>
  <c r="N127" i="1"/>
  <c r="L26" i="2" s="1"/>
  <c r="M127" i="1"/>
  <c r="K26" i="2" s="1"/>
  <c r="L127" i="1"/>
  <c r="J26" i="2" s="1"/>
  <c r="K127" i="1"/>
  <c r="I26" i="2" s="1"/>
  <c r="J127" i="1"/>
  <c r="H26" i="2" s="1"/>
  <c r="I127" i="1"/>
  <c r="G26" i="2" s="1"/>
  <c r="H127" i="1"/>
  <c r="F26" i="2" s="1"/>
  <c r="G127" i="1"/>
  <c r="E26" i="2" s="1"/>
  <c r="F127" i="1"/>
  <c r="E127"/>
  <c r="C26" i="2" s="1"/>
  <c r="O128" i="1"/>
  <c r="N128"/>
  <c r="M128"/>
  <c r="L128"/>
  <c r="K128"/>
  <c r="J128"/>
  <c r="I128"/>
  <c r="H128"/>
  <c r="G128"/>
  <c r="F128"/>
  <c r="C128" s="1"/>
  <c r="E128"/>
  <c r="O93"/>
  <c r="N93"/>
  <c r="M93"/>
  <c r="L93"/>
  <c r="K93"/>
  <c r="J93"/>
  <c r="I93"/>
  <c r="H93"/>
  <c r="G93"/>
  <c r="F93"/>
  <c r="C93" s="1"/>
  <c r="E93"/>
  <c r="C9" i="3" s="1"/>
  <c r="O94" i="1"/>
  <c r="N94"/>
  <c r="M94"/>
  <c r="L94"/>
  <c r="K94"/>
  <c r="J94"/>
  <c r="I94"/>
  <c r="H94"/>
  <c r="G94"/>
  <c r="F94"/>
  <c r="C94" s="1"/>
  <c r="E94"/>
  <c r="N22" i="3" s="1"/>
  <c r="O95" i="1"/>
  <c r="M25" i="2" s="1"/>
  <c r="N95" i="1"/>
  <c r="L25" i="2" s="1"/>
  <c r="M95" i="1"/>
  <c r="K25" i="2" s="1"/>
  <c r="L95" i="1"/>
  <c r="J25" i="2" s="1"/>
  <c r="K95" i="1"/>
  <c r="I25" i="2" s="1"/>
  <c r="J95" i="1"/>
  <c r="H25" i="2" s="1"/>
  <c r="I95" i="1"/>
  <c r="G25" i="2" s="1"/>
  <c r="H95" i="1"/>
  <c r="F25" i="2" s="1"/>
  <c r="G95" i="1"/>
  <c r="E25" i="2" s="1"/>
  <c r="F95" i="1"/>
  <c r="E95"/>
  <c r="C25" i="2" s="1"/>
  <c r="O96" i="1"/>
  <c r="N96"/>
  <c r="M96"/>
  <c r="L96"/>
  <c r="K96"/>
  <c r="J96"/>
  <c r="I96"/>
  <c r="H96"/>
  <c r="G96"/>
  <c r="F96"/>
  <c r="C96" s="1"/>
  <c r="E96"/>
  <c r="O61"/>
  <c r="N61"/>
  <c r="M61"/>
  <c r="L61"/>
  <c r="K61"/>
  <c r="J61"/>
  <c r="I61"/>
  <c r="H61"/>
  <c r="G61"/>
  <c r="F61"/>
  <c r="C61" s="1"/>
  <c r="E61"/>
  <c r="C8" i="3" s="1"/>
  <c r="O62" i="1"/>
  <c r="N62"/>
  <c r="M62"/>
  <c r="L62"/>
  <c r="K62"/>
  <c r="J62"/>
  <c r="I62"/>
  <c r="H62"/>
  <c r="G62"/>
  <c r="F62"/>
  <c r="C62" s="1"/>
  <c r="E62"/>
  <c r="C22" i="3" s="1"/>
  <c r="O63" i="1"/>
  <c r="M24" i="2" s="1"/>
  <c r="N63" i="1"/>
  <c r="L24" i="2" s="1"/>
  <c r="M63" i="1"/>
  <c r="K24" i="2" s="1"/>
  <c r="L63" i="1"/>
  <c r="J24" i="2" s="1"/>
  <c r="K63" i="1"/>
  <c r="I24" i="2" s="1"/>
  <c r="J63" i="1"/>
  <c r="H24" i="2" s="1"/>
  <c r="I63" i="1"/>
  <c r="G24" i="2" s="1"/>
  <c r="H63" i="1"/>
  <c r="F24" i="2" s="1"/>
  <c r="G63" i="1"/>
  <c r="E24" i="2" s="1"/>
  <c r="F63" i="1"/>
  <c r="E63"/>
  <c r="C24" i="2" s="1"/>
  <c r="O64" i="1"/>
  <c r="N64"/>
  <c r="M64"/>
  <c r="L64"/>
  <c r="K64"/>
  <c r="J64"/>
  <c r="I64"/>
  <c r="H64"/>
  <c r="G64"/>
  <c r="F64"/>
  <c r="C64" s="1"/>
  <c r="E64"/>
  <c r="O29"/>
  <c r="N29"/>
  <c r="M29"/>
  <c r="L29"/>
  <c r="K29"/>
  <c r="J29"/>
  <c r="I29"/>
  <c r="H29"/>
  <c r="G29"/>
  <c r="F29"/>
  <c r="E29"/>
  <c r="C7" i="3" s="1"/>
  <c r="O30" i="1"/>
  <c r="N30"/>
  <c r="M30"/>
  <c r="L30"/>
  <c r="K30"/>
  <c r="J30"/>
  <c r="I30"/>
  <c r="H30"/>
  <c r="G30"/>
  <c r="F30"/>
  <c r="E30"/>
  <c r="C21" i="3" s="1"/>
  <c r="O31" i="1"/>
  <c r="M23" i="2" s="1"/>
  <c r="N31" i="1"/>
  <c r="L23" i="2" s="1"/>
  <c r="M31" i="1"/>
  <c r="K23" i="2" s="1"/>
  <c r="L31" i="1"/>
  <c r="J23" i="2" s="1"/>
  <c r="K31" i="1"/>
  <c r="I23" i="2" s="1"/>
  <c r="J31" i="1"/>
  <c r="H23" i="2" s="1"/>
  <c r="I31" i="1"/>
  <c r="G23" i="2" s="1"/>
  <c r="H31" i="1"/>
  <c r="F23" i="2" s="1"/>
  <c r="G31" i="1"/>
  <c r="E23" i="2" s="1"/>
  <c r="F31" i="1"/>
  <c r="D23" i="2" s="1"/>
  <c r="E31" i="1"/>
  <c r="C23" i="2" s="1"/>
  <c r="O32" i="1"/>
  <c r="N32"/>
  <c r="M32"/>
  <c r="L32"/>
  <c r="K32"/>
  <c r="J32"/>
  <c r="I32"/>
  <c r="H32"/>
  <c r="G32"/>
  <c r="F32"/>
  <c r="E32"/>
  <c r="N23" i="2" l="1"/>
  <c r="C221" i="1"/>
  <c r="C448"/>
  <c r="C414"/>
  <c r="C352"/>
  <c r="C320"/>
  <c r="C288"/>
  <c r="C189"/>
  <c r="D28" i="2"/>
  <c r="C191" i="1"/>
  <c r="D27" i="2"/>
  <c r="C159" i="1"/>
  <c r="D36" i="2"/>
  <c r="C447" i="1"/>
  <c r="D33" i="2"/>
  <c r="C351" i="1"/>
  <c r="D35" i="2"/>
  <c r="C415" i="1"/>
  <c r="D34" i="2"/>
  <c r="C383" i="1"/>
  <c r="C192"/>
  <c r="C158"/>
  <c r="C157"/>
  <c r="C416"/>
  <c r="C317"/>
  <c r="C254"/>
  <c r="C285"/>
  <c r="C445"/>
  <c r="C382"/>
  <c r="C256"/>
  <c r="C350"/>
  <c r="C222"/>
  <c r="C446"/>
  <c r="C349"/>
  <c r="C381"/>
  <c r="C318"/>
  <c r="D24" i="2"/>
  <c r="C63" i="1"/>
  <c r="D25" i="2"/>
  <c r="C95" i="1"/>
  <c r="D26" i="2"/>
  <c r="C127" i="1"/>
  <c r="D30" i="2"/>
  <c r="C255" i="1"/>
  <c r="D32" i="2"/>
  <c r="C319" i="1"/>
  <c r="D29" i="2"/>
  <c r="C223" i="1"/>
  <c r="C160"/>
  <c r="C190"/>
  <c r="C253"/>
  <c r="C224"/>
  <c r="C384"/>
  <c r="C413"/>
  <c r="C286"/>
  <c r="N24" i="2"/>
  <c r="N25"/>
  <c r="N26"/>
  <c r="N36"/>
  <c r="N35"/>
  <c r="N33"/>
  <c r="N29"/>
  <c r="N28"/>
  <c r="N27"/>
  <c r="N30"/>
  <c r="N32"/>
  <c r="N34"/>
  <c r="O23" l="1"/>
  <c r="P23" s="1"/>
  <c r="O24"/>
  <c r="P24" s="1"/>
  <c r="O26"/>
  <c r="P26" s="1"/>
  <c r="F10" s="1"/>
  <c r="O33"/>
  <c r="P33" s="1"/>
  <c r="C17" s="1"/>
  <c r="O29"/>
  <c r="P29" s="1"/>
  <c r="C13" s="1"/>
  <c r="O25"/>
  <c r="P25" s="1"/>
  <c r="C9" s="1"/>
  <c r="N8" i="3" s="1"/>
  <c r="O36" i="2"/>
  <c r="P36" s="1"/>
  <c r="D20" s="1"/>
  <c r="O32"/>
  <c r="P32" s="1"/>
  <c r="D16" s="1"/>
  <c r="O28"/>
  <c r="P28" s="1"/>
  <c r="D12" s="1"/>
  <c r="D8"/>
  <c r="O35"/>
  <c r="P35" s="1"/>
  <c r="C19" s="1"/>
  <c r="O31"/>
  <c r="P31" s="1"/>
  <c r="C15" s="1"/>
  <c r="O27"/>
  <c r="P27" s="1"/>
  <c r="C11" s="1"/>
  <c r="D7"/>
  <c r="O34"/>
  <c r="P34" s="1"/>
  <c r="D18" s="1"/>
  <c r="O30"/>
  <c r="P30" s="1"/>
  <c r="F14" s="1"/>
  <c r="I13"/>
  <c r="I9"/>
  <c r="G20"/>
  <c r="E10" l="1"/>
  <c r="I19"/>
  <c r="F11"/>
  <c r="G12"/>
  <c r="J8"/>
  <c r="M10"/>
  <c r="H10"/>
  <c r="F19"/>
  <c r="J12"/>
  <c r="J20"/>
  <c r="F13"/>
  <c r="H7"/>
  <c r="F15"/>
  <c r="G16"/>
  <c r="F17"/>
  <c r="E14"/>
  <c r="I10"/>
  <c r="L10"/>
  <c r="D10"/>
  <c r="G18"/>
  <c r="I11"/>
  <c r="J19"/>
  <c r="M19"/>
  <c r="E19"/>
  <c r="K12"/>
  <c r="C12"/>
  <c r="F12"/>
  <c r="K20"/>
  <c r="C20"/>
  <c r="F20"/>
  <c r="J13"/>
  <c r="M13"/>
  <c r="E13"/>
  <c r="I7"/>
  <c r="M14"/>
  <c r="H14"/>
  <c r="C7"/>
  <c r="N10" i="3" s="1"/>
  <c r="I15" i="2"/>
  <c r="G8"/>
  <c r="J16"/>
  <c r="F9"/>
  <c r="I17"/>
  <c r="J18"/>
  <c r="E7"/>
  <c r="M7"/>
  <c r="L7"/>
  <c r="I14"/>
  <c r="L14"/>
  <c r="D14"/>
  <c r="J15"/>
  <c r="M15"/>
  <c r="E15"/>
  <c r="K8"/>
  <c r="C8"/>
  <c r="N9" i="3" s="1"/>
  <c r="F8" i="2"/>
  <c r="K16"/>
  <c r="C16"/>
  <c r="F16"/>
  <c r="J9"/>
  <c r="M9"/>
  <c r="E9"/>
  <c r="J17"/>
  <c r="M17"/>
  <c r="E17"/>
  <c r="K10"/>
  <c r="G10"/>
  <c r="C10"/>
  <c r="N7" i="3" s="1"/>
  <c r="J10" i="2"/>
  <c r="K18"/>
  <c r="C18"/>
  <c r="F18"/>
  <c r="J11"/>
  <c r="M11"/>
  <c r="E11"/>
  <c r="L19"/>
  <c r="H19"/>
  <c r="D19"/>
  <c r="K19"/>
  <c r="G19"/>
  <c r="M12"/>
  <c r="I12"/>
  <c r="E12"/>
  <c r="L12"/>
  <c r="H12"/>
  <c r="M20"/>
  <c r="I20"/>
  <c r="E20"/>
  <c r="L20"/>
  <c r="H20"/>
  <c r="L13"/>
  <c r="H13"/>
  <c r="D13"/>
  <c r="K13"/>
  <c r="G13"/>
  <c r="M18"/>
  <c r="I18"/>
  <c r="E18"/>
  <c r="L18"/>
  <c r="H18"/>
  <c r="L11"/>
  <c r="H11"/>
  <c r="D11"/>
  <c r="K11"/>
  <c r="G11"/>
  <c r="G7"/>
  <c r="K7"/>
  <c r="F7"/>
  <c r="J7"/>
  <c r="K14"/>
  <c r="G14"/>
  <c r="C14"/>
  <c r="J14"/>
  <c r="L15"/>
  <c r="H15"/>
  <c r="D15"/>
  <c r="K15"/>
  <c r="G15"/>
  <c r="M8"/>
  <c r="I8"/>
  <c r="E8"/>
  <c r="L8"/>
  <c r="H8"/>
  <c r="M16"/>
  <c r="I16"/>
  <c r="E16"/>
  <c r="L16"/>
  <c r="H16"/>
  <c r="L9"/>
  <c r="H9"/>
  <c r="D9"/>
  <c r="K9"/>
  <c r="G9"/>
  <c r="L17"/>
  <c r="H17"/>
  <c r="D17"/>
  <c r="K17"/>
  <c r="G17"/>
</calcChain>
</file>

<file path=xl/sharedStrings.xml><?xml version="1.0" encoding="utf-8"?>
<sst xmlns="http://schemas.openxmlformats.org/spreadsheetml/2006/main" count="1175" uniqueCount="327">
  <si>
    <t>Pos.</t>
  </si>
  <si>
    <t>CARTOLA</t>
  </si>
  <si>
    <t>P</t>
  </si>
  <si>
    <t>PCC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</si>
  <si>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</si>
  <si>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</si>
  <si>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</si>
  <si>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</si>
  <si>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</si>
  <si>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</si>
  <si>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</si>
  <si>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</si>
  <si>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</si>
  <si>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</si>
  <si>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</si>
  <si>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</si>
  <si>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</si>
  <si>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</si>
  <si>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</si>
  <si>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</si>
  <si>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 xml:space="preserve"> </t>
  </si>
  <si>
    <t>J</t>
  </si>
  <si>
    <t>V3P</t>
  </si>
  <si>
    <t>V2P</t>
  </si>
  <si>
    <t>E</t>
  </si>
  <si>
    <t>D</t>
  </si>
  <si>
    <t>% APR.</t>
  </si>
  <si>
    <t>PPC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</si>
  <si>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</si>
  <si>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</si>
  <si>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</si>
  <si>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</si>
  <si>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</si>
  <si>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</si>
  <si>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</si>
  <si>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CLASSIFICADO</t>
  </si>
  <si>
    <t>times</t>
  </si>
  <si>
    <t>ELIMINADO</t>
  </si>
  <si>
    <t>DISPUTA ENTRE TERCEIROS</t>
  </si>
  <si>
    <t>SUPERCOPA MUNDIAL - 2016</t>
  </si>
  <si>
    <t>1ª RODADA - #30</t>
  </si>
  <si>
    <t>2ª RODADA - #31</t>
  </si>
  <si>
    <t>3ª RODADA - #32</t>
  </si>
  <si>
    <t>X</t>
  </si>
  <si>
    <t>OITAVAS DE FINAIS</t>
  </si>
  <si>
    <t>J1</t>
  </si>
  <si>
    <t>J2</t>
  </si>
  <si>
    <t>J3</t>
  </si>
  <si>
    <t>J4</t>
  </si>
  <si>
    <t>J5</t>
  </si>
  <si>
    <t>J6</t>
  </si>
  <si>
    <t>J7</t>
  </si>
  <si>
    <t>J8</t>
  </si>
  <si>
    <t>DISPUTA DO 9º LUGAR</t>
  </si>
  <si>
    <t>J9</t>
  </si>
  <si>
    <t>J10</t>
  </si>
  <si>
    <t>J11</t>
  </si>
  <si>
    <t>J12</t>
  </si>
  <si>
    <t>QUARTAS DE FINAL</t>
  </si>
  <si>
    <t>J13</t>
  </si>
  <si>
    <t>J14</t>
  </si>
  <si>
    <t>J15</t>
  </si>
  <si>
    <t>J16</t>
  </si>
  <si>
    <t>DISPUTA DO 13º LUGAR</t>
  </si>
  <si>
    <t>J17</t>
  </si>
  <si>
    <t>J18</t>
  </si>
  <si>
    <t>J19</t>
  </si>
  <si>
    <t>J20</t>
  </si>
  <si>
    <t>DISPUTA DO 5º LUGAR</t>
  </si>
  <si>
    <t>J21</t>
  </si>
  <si>
    <t>J22</t>
  </si>
  <si>
    <t>J23</t>
  </si>
  <si>
    <t>J24</t>
  </si>
  <si>
    <t>DISPUTA DO 15º LUGAR</t>
  </si>
  <si>
    <t>J25</t>
  </si>
  <si>
    <t>J26</t>
  </si>
  <si>
    <t>DISPUTA DO 11º LUGAR</t>
  </si>
  <si>
    <t>J27</t>
  </si>
  <si>
    <t>J28</t>
  </si>
  <si>
    <t>DISPUTA DO 7º LUGAR</t>
  </si>
  <si>
    <t>J29</t>
  </si>
  <si>
    <t>J30</t>
  </si>
  <si>
    <t>DISPUTA DO 3º LUGAR</t>
  </si>
  <si>
    <t>J31</t>
  </si>
  <si>
    <t>FINAL</t>
  </si>
  <si>
    <t>J32</t>
  </si>
  <si>
    <t>3ª FASE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</si>
  <si>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</si>
  <si>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</si>
  <si>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</si>
  <si>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</si>
  <si>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</si>
  <si>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</si>
  <si>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</si>
  <si>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</si>
  <si>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</si>
  <si>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</si>
  <si>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</si>
  <si>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</si>
  <si>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</si>
  <si>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</si>
  <si>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</si>
  <si>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</si>
  <si>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</si>
  <si>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</si>
  <si>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</si>
  <si>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</si>
  <si>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</si>
  <si>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</si>
  <si>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</si>
  <si>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</si>
  <si>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</si>
  <si>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</si>
  <si>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</si>
  <si>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</si>
  <si>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</si>
  <si>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</si>
  <si>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</si>
  <si>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</si>
  <si>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J65</t>
  </si>
  <si>
    <t>J66</t>
  </si>
  <si>
    <t>J67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</si>
  <si>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</si>
  <si>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</si>
  <si>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</si>
  <si>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</si>
  <si>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</si>
  <si>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</si>
  <si>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</si>
  <si>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</si>
  <si>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</si>
  <si>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</si>
  <si>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</si>
  <si>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</si>
  <si>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</si>
  <si>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RODADA #34</t>
  </si>
  <si>
    <t>RODADA #35</t>
  </si>
  <si>
    <t>RODADA #36</t>
  </si>
  <si>
    <t>RODADA #37</t>
  </si>
  <si>
    <t>23 pontos Ranking</t>
  </si>
  <si>
    <t>22 pontos Ranking</t>
  </si>
  <si>
    <t>21 pontos Ranking</t>
  </si>
  <si>
    <t>20 pontos Ranking</t>
  </si>
  <si>
    <t xml:space="preserve">35 pontos Ranking </t>
  </si>
  <si>
    <t>33 pontos Ranking</t>
  </si>
  <si>
    <t>32 pontos Ranking</t>
  </si>
  <si>
    <t>31 pontos Ranking</t>
  </si>
  <si>
    <t>30 pontos Ranking</t>
  </si>
  <si>
    <t>29 pontos Ranking</t>
  </si>
  <si>
    <t>28 pontos Ranking</t>
  </si>
  <si>
    <t>27 pontos Ranking</t>
  </si>
  <si>
    <t>26 pontos Ranking</t>
  </si>
  <si>
    <t>25 pontos Ranking</t>
  </si>
  <si>
    <t>24 pontos Ranking</t>
  </si>
  <si>
    <t xml:space="preserve">34 pontos Ranking </t>
  </si>
  <si>
    <t>1ª FASE</t>
  </si>
  <si>
    <t>GRUPO 1</t>
  </si>
  <si>
    <t>GRUPO 2</t>
  </si>
  <si>
    <t>GRUPO 3</t>
  </si>
  <si>
    <t>GRUPO 4</t>
  </si>
  <si>
    <t>1ª RODADA - #31</t>
  </si>
  <si>
    <t>2ª RODADA - #32</t>
  </si>
  <si>
    <t>3ª RODADA - #33</t>
  </si>
  <si>
    <t>GRUPO 5</t>
  </si>
  <si>
    <t>GRUPO 6</t>
  </si>
  <si>
    <t>GRUPO 7</t>
  </si>
  <si>
    <t>GRUPO 8</t>
  </si>
  <si>
    <t>GRUPO 9</t>
  </si>
  <si>
    <t>GRUPO 10</t>
  </si>
  <si>
    <t>GRUPO 11</t>
  </si>
  <si>
    <t>GRUPO 12</t>
  </si>
  <si>
    <t>GRUPO 13</t>
  </si>
  <si>
    <t>GRUPO 14</t>
  </si>
  <si>
    <t>SEMI FINAL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</si>
  <si>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</si>
  <si>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</si>
  <si>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</si>
  <si>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</si>
  <si>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</si>
  <si>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</si>
  <si>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</si>
  <si>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</si>
  <si>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</si>
  <si>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</si>
  <si>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</si>
  <si>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</si>
  <si>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</si>
  <si>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</si>
  <si>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</si>
  <si>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</si>
  <si>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J97</t>
  </si>
  <si>
    <t>J98</t>
  </si>
  <si>
    <t>J99</t>
  </si>
  <si>
    <t>J100</t>
  </si>
  <si>
    <t>J101</t>
  </si>
  <si>
    <t>J102</t>
  </si>
  <si>
    <t>J103</t>
  </si>
  <si>
    <t>J104</t>
  </si>
  <si>
    <t>RODADA #30</t>
  </si>
  <si>
    <t>2ª FASE</t>
  </si>
  <si>
    <t xml:space="preserve">maxion SPFC </t>
  </si>
  <si>
    <t>Patologia</t>
  </si>
  <si>
    <t>Rock celeste F.C</t>
  </si>
  <si>
    <t>Danniel  M</t>
  </si>
  <si>
    <t>tremembe city</t>
  </si>
  <si>
    <t>Belmiro Village SFC</t>
  </si>
  <si>
    <t>galaticos ipiranga</t>
  </si>
  <si>
    <t>Galaticos  Alves FC</t>
  </si>
  <si>
    <t>Real Madriki F.C</t>
  </si>
  <si>
    <t>Mohamed07</t>
  </si>
  <si>
    <t>Star Champions</t>
  </si>
  <si>
    <t>AVANTIMS FC</t>
  </si>
  <si>
    <t>homem-Oliveira</t>
  </si>
  <si>
    <t>Toronto cfs</t>
  </si>
  <si>
    <t>The Snipers F.C.</t>
  </si>
  <si>
    <t>Neo City Club</t>
  </si>
  <si>
    <t>ASTROS REVELA</t>
  </si>
  <si>
    <t>Riquelminho F.C.</t>
  </si>
  <si>
    <t>Mafuzada F.C</t>
  </si>
  <si>
    <t>Noronha Club Fc</t>
  </si>
  <si>
    <t>FC Furiosos</t>
  </si>
  <si>
    <t>PEPE RS</t>
  </si>
  <si>
    <t>Edielson Bamor</t>
  </si>
  <si>
    <t>HANNOVER 1986 FC</t>
  </si>
  <si>
    <t>NIGGA E.C.</t>
  </si>
  <si>
    <t>Guiguizão fc</t>
  </si>
  <si>
    <t>PSG Massacre Fc</t>
  </si>
  <si>
    <t>BFR Igor Costa</t>
  </si>
  <si>
    <t>Visão Futebolística</t>
  </si>
  <si>
    <t>Kit Ramsey FC</t>
  </si>
  <si>
    <t>CA4 United</t>
  </si>
  <si>
    <t>InvasãoCorithiana76</t>
  </si>
  <si>
    <t>VascoPaulo F.C.</t>
  </si>
  <si>
    <t>C.R. lucas pereira</t>
  </si>
  <si>
    <t>Engenheirense</t>
  </si>
  <si>
    <t xml:space="preserve">Paris S. Aracanguain </t>
  </si>
  <si>
    <t xml:space="preserve">RGN </t>
  </si>
  <si>
    <t>NARINA SC</t>
  </si>
  <si>
    <t>Verein Dortmund F.C</t>
  </si>
  <si>
    <t>c.b.v Família f.c</t>
  </si>
  <si>
    <t>Real Tiriça F.C</t>
  </si>
  <si>
    <t>Maldry F.C</t>
  </si>
  <si>
    <t>Starmalas.F.C.</t>
  </si>
  <si>
    <t>PANZA FC</t>
  </si>
  <si>
    <t>Valquerato</t>
  </si>
  <si>
    <t>Bóia de Munique FC</t>
  </si>
  <si>
    <t>Stars United C.F.</t>
  </si>
  <si>
    <t>Câmara Cascudo FC</t>
  </si>
  <si>
    <t>Família Frota Fc</t>
  </si>
  <si>
    <t>so caloi</t>
  </si>
  <si>
    <t>jaçaloucos FC</t>
  </si>
  <si>
    <t>André Fogão</t>
  </si>
  <si>
    <t>Family Paz F.C.</t>
  </si>
  <si>
    <t>arenalianz palmeiras</t>
  </si>
  <si>
    <t>leonazone</t>
  </si>
  <si>
    <t>Operário F.C</t>
  </si>
  <si>
    <t>FRBARON</t>
  </si>
  <si>
    <t>Papa Goiabas FC</t>
  </si>
  <si>
    <t>TS3 F.C</t>
  </si>
  <si>
    <t>IGORJUNIO I.F.C</t>
  </si>
  <si>
    <t>Barzeiro Cabuloso FC</t>
  </si>
  <si>
    <t>huliganns SC</t>
  </si>
  <si>
    <t>MELHORES TERCEIROS LUGARES</t>
  </si>
  <si>
    <t>5º</t>
  </si>
  <si>
    <t>CLASSIFICADOS</t>
  </si>
  <si>
    <t>6º</t>
  </si>
  <si>
    <t>ELIMINADOS</t>
  </si>
  <si>
    <t>7º</t>
  </si>
  <si>
    <t>8º</t>
  </si>
  <si>
    <t>9º</t>
  </si>
  <si>
    <t>10º</t>
  </si>
  <si>
    <t>11º</t>
  </si>
  <si>
    <t>12º</t>
  </si>
  <si>
    <t>13º</t>
  </si>
  <si>
    <t>14º</t>
  </si>
  <si>
    <t>StronderTiguer</t>
  </si>
  <si>
    <t>Galácticos C.F.R.</t>
  </si>
  <si>
    <t>Futuro Natal</t>
  </si>
  <si>
    <t>Barbosinhaas</t>
  </si>
  <si>
    <t>Tratozzi FC</t>
  </si>
  <si>
    <t>LÁ UNDÉCIMA</t>
  </si>
  <si>
    <t>Yes we cam 1000% fc</t>
  </si>
  <si>
    <t>Sallen CRVG FC</t>
  </si>
  <si>
    <t>lluancity95</t>
  </si>
  <si>
    <t>Psicoacústica FC</t>
  </si>
  <si>
    <t>Mulesta é Isso F.C</t>
  </si>
  <si>
    <t>Real Madrid football clube</t>
  </si>
  <si>
    <t>FC Douglas Leal</t>
  </si>
  <si>
    <t>Nacyonal de Marabá</t>
  </si>
  <si>
    <t>Raça Fl@ FC</t>
  </si>
  <si>
    <t>GREMIO CURITIBA</t>
  </si>
  <si>
    <t>Polvilho FC</t>
  </si>
  <si>
    <t>Bafulinos SC</t>
  </si>
  <si>
    <t>F.C. Bugrao</t>
  </si>
  <si>
    <t>hugofluzao</t>
  </si>
  <si>
    <t>Invejados F.C</t>
  </si>
  <si>
    <t>Caveirão de Favela FC</t>
  </si>
  <si>
    <t>Kappa Trentino</t>
  </si>
  <si>
    <t>Tribe of Gypsies</t>
  </si>
  <si>
    <t>Maximum EC</t>
  </si>
  <si>
    <t>FC Van Persie</t>
  </si>
  <si>
    <t>ManchesterUrubu City</t>
  </si>
  <si>
    <t>UBDC FC</t>
  </si>
  <si>
    <t>LIGA DA JUSTIÇA F.C</t>
  </si>
  <si>
    <t>Big House</t>
  </si>
  <si>
    <t>Cavalo de Troia BFR</t>
  </si>
  <si>
    <t>Tomate sem Lei F.C</t>
  </si>
  <si>
    <t>Us Karas</t>
  </si>
  <si>
    <t>NICKA SC</t>
  </si>
  <si>
    <t>Bolacha pc.</t>
  </si>
  <si>
    <t>revolução fc</t>
  </si>
  <si>
    <t>X3QuEM4T3 FC !</t>
  </si>
  <si>
    <t xml:space="preserve">ITTU Football Club </t>
  </si>
  <si>
    <t>Kadosh o2</t>
  </si>
  <si>
    <t>Bode de chuteira</t>
  </si>
  <si>
    <t>Grajaú C.F.</t>
  </si>
  <si>
    <t>Sanchez 07 F.C</t>
  </si>
  <si>
    <t>REAL QUASE MADRID</t>
  </si>
  <si>
    <t>Us Picoti FC</t>
  </si>
  <si>
    <t>CAMPEÃOOOOO-ZERO</t>
  </si>
  <si>
    <t>Black sheep f.c</t>
  </si>
  <si>
    <t>sucupir@ Dortmund</t>
  </si>
  <si>
    <t>MESTRE CIÇA</t>
  </si>
  <si>
    <t>E C Barcelama</t>
  </si>
  <si>
    <t>Força e Honra F. C.</t>
  </si>
  <si>
    <t>43.02</t>
  </si>
  <si>
    <t>RODADA #38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</si>
</sst>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39997558519241921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51">
    <xf numFmtId="0" fontId="0" fillId="0" borderId="0" xfId="0"/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1" fillId="2" borderId="25" xfId="0" applyFont="1" applyFill="1" applyBorder="1" applyAlignment="1" applyProtection="1">
      <alignment horizontal="center"/>
      <protection hidden="1"/>
    </xf>
    <xf numFmtId="0" fontId="1" fillId="4" borderId="18" xfId="0" applyFont="1" applyFill="1" applyBorder="1" applyAlignment="1" applyProtection="1">
      <alignment horizontal="center"/>
      <protection hidden="1"/>
    </xf>
    <xf numFmtId="1" fontId="1" fillId="4" borderId="18" xfId="0" applyNumberFormat="1" applyFont="1" applyFill="1" applyBorder="1" applyAlignment="1" applyProtection="1">
      <alignment horizontal="center"/>
      <protection hidden="1"/>
    </xf>
    <xf numFmtId="0" fontId="1" fillId="5" borderId="15" xfId="0" applyFont="1" applyFill="1" applyBorder="1" applyAlignment="1" applyProtection="1">
      <alignment horizontal="center"/>
      <protection hidden="1"/>
    </xf>
    <xf numFmtId="1" fontId="1" fillId="5" borderId="15" xfId="0" applyNumberFormat="1" applyFont="1" applyFill="1" applyBorder="1" applyAlignment="1" applyProtection="1">
      <alignment horizontal="center"/>
      <protection hidden="1"/>
    </xf>
    <xf numFmtId="0" fontId="1" fillId="4" borderId="21" xfId="0" applyFont="1" applyFill="1" applyBorder="1" applyAlignment="1" applyProtection="1">
      <alignment horizontal="center"/>
      <protection hidden="1"/>
    </xf>
    <xf numFmtId="0" fontId="1" fillId="4" borderId="11" xfId="0" applyFont="1" applyFill="1" applyBorder="1" applyAlignment="1" applyProtection="1">
      <alignment horizontal="center"/>
      <protection hidden="1"/>
    </xf>
    <xf numFmtId="1" fontId="1" fillId="4" borderId="11" xfId="0" applyNumberFormat="1" applyFont="1" applyFill="1" applyBorder="1" applyAlignment="1" applyProtection="1">
      <alignment horizontal="center"/>
      <protection hidden="1"/>
    </xf>
    <xf numFmtId="0" fontId="1" fillId="4" borderId="22" xfId="0" applyFont="1" applyFill="1" applyBorder="1" applyAlignment="1" applyProtection="1">
      <alignment horizontal="center"/>
      <protection hidden="1"/>
    </xf>
    <xf numFmtId="0" fontId="1" fillId="5" borderId="20" xfId="0" applyFont="1" applyFill="1" applyBorder="1" applyAlignment="1" applyProtection="1">
      <alignment horizontal="center"/>
      <protection hidden="1"/>
    </xf>
    <xf numFmtId="0" fontId="1" fillId="4" borderId="17" xfId="0" applyFont="1" applyFill="1" applyBorder="1" applyAlignment="1" applyProtection="1">
      <alignment horizontal="center"/>
      <protection hidden="1"/>
    </xf>
    <xf numFmtId="9" fontId="1" fillId="4" borderId="19" xfId="1" applyFont="1" applyFill="1" applyBorder="1" applyAlignment="1" applyProtection="1">
      <alignment horizontal="center"/>
      <protection hidden="1"/>
    </xf>
    <xf numFmtId="9" fontId="1" fillId="5" borderId="16" xfId="1" applyFont="1" applyFill="1" applyBorder="1" applyAlignment="1" applyProtection="1">
      <alignment horizontal="center"/>
      <protection hidden="1"/>
    </xf>
    <xf numFmtId="9" fontId="1" fillId="4" borderId="12" xfId="1" applyFont="1" applyFill="1" applyBorder="1" applyAlignment="1" applyProtection="1">
      <alignment horizontal="center"/>
      <protection hidden="1"/>
    </xf>
    <xf numFmtId="2" fontId="6" fillId="0" borderId="13" xfId="0" applyNumberFormat="1" applyFont="1" applyBorder="1" applyAlignment="1" applyProtection="1">
      <alignment horizontal="center"/>
      <protection hidden="1"/>
    </xf>
    <xf numFmtId="0" fontId="6" fillId="0" borderId="13" xfId="0" applyFont="1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Protection="1">
      <protection locked="0" hidden="1"/>
    </xf>
    <xf numFmtId="0" fontId="4" fillId="0" borderId="0" xfId="0" applyFont="1" applyBorder="1" applyAlignment="1" applyProtection="1">
      <alignment horizontal="center"/>
      <protection hidden="1"/>
    </xf>
    <xf numFmtId="1" fontId="6" fillId="0" borderId="0" xfId="0" applyNumberFormat="1" applyFont="1" applyBorder="1" applyAlignment="1" applyProtection="1">
      <alignment horizontal="center"/>
      <protection locked="0" hidden="1"/>
    </xf>
    <xf numFmtId="2" fontId="6" fillId="0" borderId="0" xfId="0" applyNumberFormat="1" applyFont="1" applyBorder="1" applyAlignment="1" applyProtection="1">
      <alignment horizontal="center"/>
      <protection hidden="1"/>
    </xf>
    <xf numFmtId="0" fontId="1" fillId="2" borderId="20" xfId="0" applyFont="1" applyFill="1" applyBorder="1" applyProtection="1">
      <protection hidden="1"/>
    </xf>
    <xf numFmtId="0" fontId="1" fillId="2" borderId="15" xfId="0" applyFont="1" applyFill="1" applyBorder="1" applyAlignment="1" applyProtection="1">
      <alignment horizontal="center"/>
      <protection hidden="1"/>
    </xf>
    <xf numFmtId="0" fontId="1" fillId="2" borderId="16" xfId="0" applyFont="1" applyFill="1" applyBorder="1" applyAlignment="1" applyProtection="1">
      <alignment horizontal="center"/>
      <protection hidden="1"/>
    </xf>
    <xf numFmtId="0" fontId="1" fillId="5" borderId="23" xfId="0" applyFont="1" applyFill="1" applyBorder="1" applyAlignment="1" applyProtection="1">
      <alignment horizontal="center"/>
      <protection hidden="1"/>
    </xf>
    <xf numFmtId="1" fontId="1" fillId="5" borderId="23" xfId="0" applyNumberFormat="1" applyFont="1" applyFill="1" applyBorder="1" applyAlignment="1" applyProtection="1">
      <alignment horizontal="center"/>
      <protection hidden="1"/>
    </xf>
    <xf numFmtId="9" fontId="1" fillId="5" borderId="27" xfId="1" applyFont="1" applyFill="1" applyBorder="1" applyAlignment="1" applyProtection="1">
      <alignment horizontal="center"/>
      <protection hidden="1"/>
    </xf>
    <xf numFmtId="0" fontId="1" fillId="6" borderId="22" xfId="0" applyFont="1" applyFill="1" applyBorder="1" applyAlignment="1" applyProtection="1">
      <alignment horizontal="center"/>
      <protection hidden="1"/>
    </xf>
    <xf numFmtId="0" fontId="1" fillId="6" borderId="13" xfId="0" applyFont="1" applyFill="1" applyBorder="1" applyAlignment="1" applyProtection="1">
      <alignment horizontal="center"/>
      <protection hidden="1"/>
    </xf>
    <xf numFmtId="1" fontId="1" fillId="6" borderId="13" xfId="0" applyNumberFormat="1" applyFont="1" applyFill="1" applyBorder="1" applyAlignment="1" applyProtection="1">
      <alignment horizontal="center"/>
      <protection hidden="1"/>
    </xf>
    <xf numFmtId="9" fontId="1" fillId="6" borderId="14" xfId="1" applyFont="1" applyFill="1" applyBorder="1" applyAlignment="1" applyProtection="1">
      <alignment horizontal="center"/>
      <protection hidden="1"/>
    </xf>
    <xf numFmtId="0" fontId="1" fillId="6" borderId="11" xfId="0" applyFont="1" applyFill="1" applyBorder="1" applyAlignment="1" applyProtection="1">
      <alignment horizontal="center"/>
      <protection hidden="1"/>
    </xf>
    <xf numFmtId="1" fontId="1" fillId="6" borderId="11" xfId="0" applyNumberFormat="1" applyFont="1" applyFill="1" applyBorder="1" applyAlignment="1" applyProtection="1">
      <alignment horizontal="center"/>
      <protection hidden="1"/>
    </xf>
    <xf numFmtId="9" fontId="1" fillId="6" borderId="12" xfId="1" applyFont="1" applyFill="1" applyBorder="1" applyAlignment="1" applyProtection="1">
      <alignment horizontal="center"/>
      <protection hidden="1"/>
    </xf>
    <xf numFmtId="0" fontId="1" fillId="5" borderId="11" xfId="0" applyFont="1" applyFill="1" applyBorder="1" applyAlignment="1" applyProtection="1">
      <alignment horizontal="center"/>
      <protection hidden="1"/>
    </xf>
    <xf numFmtId="1" fontId="1" fillId="5" borderId="11" xfId="0" applyNumberFormat="1" applyFont="1" applyFill="1" applyBorder="1" applyAlignment="1" applyProtection="1">
      <alignment horizontal="center"/>
      <protection hidden="1"/>
    </xf>
    <xf numFmtId="9" fontId="1" fillId="5" borderId="12" xfId="1" applyFont="1" applyFill="1" applyBorder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8" fillId="3" borderId="0" xfId="0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6" fillId="4" borderId="26" xfId="0" applyFont="1" applyFill="1" applyBorder="1" applyProtection="1">
      <protection hidden="1"/>
    </xf>
    <xf numFmtId="0" fontId="4" fillId="6" borderId="26" xfId="0" applyFont="1" applyFill="1" applyBorder="1" applyProtection="1">
      <protection hidden="1"/>
    </xf>
    <xf numFmtId="0" fontId="6" fillId="5" borderId="24" xfId="0" applyFont="1" applyFill="1" applyBorder="1" applyProtection="1">
      <protection hidden="1"/>
    </xf>
    <xf numFmtId="0" fontId="8" fillId="7" borderId="4" xfId="0" applyFont="1" applyFill="1" applyBorder="1" applyAlignment="1" applyProtection="1">
      <alignment vertical="center"/>
      <protection hidden="1"/>
    </xf>
    <xf numFmtId="0" fontId="8" fillId="7" borderId="0" xfId="0" applyFont="1" applyFill="1" applyBorder="1" applyAlignment="1" applyProtection="1">
      <alignment vertical="center"/>
      <protection hidden="1"/>
    </xf>
    <xf numFmtId="0" fontId="8" fillId="7" borderId="5" xfId="0" applyFont="1" applyFill="1" applyBorder="1" applyAlignment="1" applyProtection="1">
      <alignment vertical="center"/>
      <protection hidden="1"/>
    </xf>
    <xf numFmtId="2" fontId="7" fillId="0" borderId="28" xfId="0" applyNumberFormat="1" applyFont="1" applyBorder="1" applyAlignment="1" applyProtection="1">
      <alignment horizontal="center" vertical="center"/>
      <protection locked="0" hidden="1"/>
    </xf>
    <xf numFmtId="2" fontId="4" fillId="0" borderId="18" xfId="0" applyNumberFormat="1" applyFont="1" applyBorder="1" applyAlignment="1" applyProtection="1">
      <alignment horizontal="center" vertical="center"/>
      <protection hidden="1"/>
    </xf>
    <xf numFmtId="2" fontId="5" fillId="0" borderId="29" xfId="0" applyNumberFormat="1" applyFont="1" applyBorder="1" applyAlignment="1" applyProtection="1">
      <alignment horizontal="center" vertical="center"/>
      <protection locked="0" hidden="1"/>
    </xf>
    <xf numFmtId="0" fontId="4" fillId="0" borderId="0" xfId="0" applyFont="1" applyBorder="1" applyProtection="1"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2" fontId="4" fillId="0" borderId="0" xfId="0" applyNumberFormat="1" applyFont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hidden="1"/>
    </xf>
    <xf numFmtId="0" fontId="8" fillId="7" borderId="1" xfId="0" applyFont="1" applyFill="1" applyBorder="1" applyAlignment="1" applyProtection="1">
      <alignment vertical="center"/>
      <protection hidden="1"/>
    </xf>
    <xf numFmtId="0" fontId="8" fillId="7" borderId="2" xfId="0" applyFont="1" applyFill="1" applyBorder="1" applyAlignment="1" applyProtection="1">
      <alignment vertical="center"/>
      <protection hidden="1"/>
    </xf>
    <xf numFmtId="0" fontId="8" fillId="7" borderId="3" xfId="0" applyFont="1" applyFill="1" applyBorder="1" applyAlignment="1" applyProtection="1">
      <alignment vertical="center"/>
      <protection hidden="1"/>
    </xf>
    <xf numFmtId="0" fontId="8" fillId="7" borderId="6" xfId="0" applyFont="1" applyFill="1" applyBorder="1" applyAlignment="1" applyProtection="1">
      <alignment vertical="center"/>
      <protection hidden="1"/>
    </xf>
    <xf numFmtId="0" fontId="8" fillId="7" borderId="7" xfId="0" applyFont="1" applyFill="1" applyBorder="1" applyAlignment="1" applyProtection="1">
      <alignment vertical="center"/>
      <protection hidden="1"/>
    </xf>
    <xf numFmtId="0" fontId="8" fillId="7" borderId="8" xfId="0" applyFont="1" applyFill="1" applyBorder="1" applyAlignment="1" applyProtection="1">
      <alignment vertical="center"/>
      <protection hidden="1"/>
    </xf>
    <xf numFmtId="2" fontId="4" fillId="0" borderId="11" xfId="0" applyNumberFormat="1" applyFont="1" applyBorder="1" applyAlignment="1" applyProtection="1">
      <alignment horizontal="center" vertical="center"/>
      <protection hidden="1"/>
    </xf>
    <xf numFmtId="2" fontId="4" fillId="0" borderId="15" xfId="0" applyNumberFormat="1" applyFont="1" applyBorder="1" applyAlignment="1" applyProtection="1">
      <alignment horizontal="center" vertical="center"/>
      <protection hidden="1"/>
    </xf>
    <xf numFmtId="0" fontId="0" fillId="0" borderId="0" xfId="0" applyBorder="1"/>
    <xf numFmtId="0" fontId="11" fillId="0" borderId="0" xfId="0" applyFont="1" applyBorder="1" applyAlignment="1" applyProtection="1">
      <alignment vertical="center"/>
      <protection hidden="1"/>
    </xf>
    <xf numFmtId="2" fontId="7" fillId="0" borderId="13" xfId="0" applyNumberFormat="1" applyFont="1" applyBorder="1" applyAlignment="1" applyProtection="1">
      <alignment horizontal="center" vertical="center"/>
      <protection locked="0" hidden="1"/>
    </xf>
    <xf numFmtId="2" fontId="4" fillId="0" borderId="13" xfId="0" applyNumberFormat="1" applyFont="1" applyBorder="1" applyAlignment="1" applyProtection="1">
      <alignment horizontal="center" vertical="center"/>
      <protection hidden="1"/>
    </xf>
    <xf numFmtId="2" fontId="5" fillId="0" borderId="13" xfId="0" applyNumberFormat="1" applyFont="1" applyBorder="1" applyAlignment="1" applyProtection="1">
      <alignment horizontal="center" vertical="center"/>
      <protection locked="0" hidden="1"/>
    </xf>
    <xf numFmtId="2" fontId="7" fillId="0" borderId="11" xfId="0" applyNumberFormat="1" applyFont="1" applyBorder="1" applyAlignment="1" applyProtection="1">
      <alignment horizontal="center" vertical="center"/>
      <protection locked="0" hidden="1"/>
    </xf>
    <xf numFmtId="2" fontId="5" fillId="0" borderId="11" xfId="0" applyNumberFormat="1" applyFont="1" applyBorder="1" applyAlignment="1" applyProtection="1">
      <alignment horizontal="center" vertical="center"/>
      <protection locked="0" hidden="1"/>
    </xf>
    <xf numFmtId="0" fontId="12" fillId="0" borderId="21" xfId="0" applyFont="1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2" fontId="5" fillId="0" borderId="15" xfId="0" applyNumberFormat="1" applyFont="1" applyBorder="1" applyAlignment="1" applyProtection="1">
      <alignment horizontal="center" vertical="center"/>
      <protection locked="0" hidden="1"/>
    </xf>
    <xf numFmtId="2" fontId="7" fillId="0" borderId="15" xfId="0" applyNumberFormat="1" applyFont="1" applyBorder="1" applyAlignment="1" applyProtection="1">
      <alignment horizontal="center" vertical="center"/>
      <protection locked="0" hidden="1"/>
    </xf>
    <xf numFmtId="0" fontId="12" fillId="0" borderId="0" xfId="0" applyFont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locked="0" hidden="1"/>
    </xf>
    <xf numFmtId="2" fontId="7" fillId="0" borderId="0" xfId="0" applyNumberFormat="1" applyFont="1" applyBorder="1" applyAlignment="1" applyProtection="1">
      <alignment horizontal="center" vertical="center"/>
      <protection locked="0" hidden="1"/>
    </xf>
    <xf numFmtId="2" fontId="6" fillId="0" borderId="35" xfId="0" applyNumberFormat="1" applyFont="1" applyBorder="1" applyAlignment="1" applyProtection="1">
      <alignment horizontal="center" vertical="center"/>
      <protection locked="0" hidden="1"/>
    </xf>
    <xf numFmtId="2" fontId="4" fillId="0" borderId="10" xfId="0" applyNumberFormat="1" applyFont="1" applyBorder="1" applyAlignment="1" applyProtection="1">
      <alignment horizontal="center" vertical="center"/>
      <protection hidden="1"/>
    </xf>
    <xf numFmtId="2" fontId="6" fillId="0" borderId="36" xfId="0" applyNumberFormat="1" applyFont="1" applyBorder="1" applyAlignment="1" applyProtection="1">
      <alignment horizontal="center" vertical="center"/>
      <protection locked="0" hidden="1"/>
    </xf>
    <xf numFmtId="0" fontId="12" fillId="0" borderId="26" xfId="0" applyFont="1" applyBorder="1" applyAlignment="1" applyProtection="1">
      <alignment vertical="center"/>
      <protection hidden="1"/>
    </xf>
    <xf numFmtId="0" fontId="13" fillId="0" borderId="0" xfId="0" applyFont="1" applyBorder="1" applyAlignment="1" applyProtection="1">
      <alignment vertical="center"/>
      <protection hidden="1"/>
    </xf>
    <xf numFmtId="0" fontId="4" fillId="0" borderId="0" xfId="0" applyFont="1" applyBorder="1"/>
    <xf numFmtId="0" fontId="4" fillId="0" borderId="0" xfId="0" applyFont="1"/>
    <xf numFmtId="0" fontId="1" fillId="3" borderId="0" xfId="0" applyFont="1" applyFill="1" applyAlignment="1" applyProtection="1">
      <alignment horizontal="center"/>
      <protection hidden="1"/>
    </xf>
    <xf numFmtId="0" fontId="1" fillId="4" borderId="13" xfId="0" applyFont="1" applyFill="1" applyBorder="1" applyAlignment="1" applyProtection="1">
      <alignment horizontal="center"/>
      <protection hidden="1"/>
    </xf>
    <xf numFmtId="1" fontId="1" fillId="4" borderId="13" xfId="0" applyNumberFormat="1" applyFont="1" applyFill="1" applyBorder="1" applyAlignment="1" applyProtection="1">
      <alignment horizontal="center"/>
      <protection hidden="1"/>
    </xf>
    <xf numFmtId="9" fontId="1" fillId="4" borderId="14" xfId="1" applyFont="1" applyFill="1" applyBorder="1" applyAlignment="1" applyProtection="1">
      <alignment horizontal="center"/>
      <protection hidden="1"/>
    </xf>
    <xf numFmtId="2" fontId="6" fillId="0" borderId="11" xfId="0" applyNumberFormat="1" applyFont="1" applyBorder="1" applyAlignment="1" applyProtection="1">
      <alignment horizontal="center" vertical="center"/>
      <protection hidden="1"/>
    </xf>
    <xf numFmtId="2" fontId="6" fillId="0" borderId="13" xfId="0" applyNumberFormat="1" applyFont="1" applyBorder="1" applyAlignment="1" applyProtection="1">
      <alignment horizontal="center" vertical="center"/>
      <protection hidden="1"/>
    </xf>
    <xf numFmtId="2" fontId="6" fillId="0" borderId="15" xfId="0" applyNumberFormat="1" applyFont="1" applyBorder="1" applyAlignment="1" applyProtection="1">
      <alignment horizontal="center" vertical="center"/>
      <protection hidden="1"/>
    </xf>
    <xf numFmtId="2" fontId="7" fillId="0" borderId="35" xfId="0" applyNumberFormat="1" applyFont="1" applyBorder="1" applyAlignment="1" applyProtection="1">
      <alignment horizontal="center" vertical="center"/>
      <protection locked="0" hidden="1"/>
    </xf>
    <xf numFmtId="2" fontId="5" fillId="0" borderId="36" xfId="0" applyNumberFormat="1" applyFont="1" applyBorder="1" applyAlignment="1" applyProtection="1">
      <alignment horizontal="center" vertical="center"/>
      <protection locked="0" hidden="1"/>
    </xf>
    <xf numFmtId="2" fontId="6" fillId="0" borderId="0" xfId="0" applyNumberFormat="1" applyFont="1" applyBorder="1" applyAlignment="1" applyProtection="1">
      <alignment horizontal="center" vertical="center"/>
      <protection locked="0" hidden="1"/>
    </xf>
    <xf numFmtId="0" fontId="14" fillId="0" borderId="0" xfId="0" applyFont="1"/>
    <xf numFmtId="0" fontId="14" fillId="0" borderId="0" xfId="0" applyFont="1" applyProtection="1"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4" fillId="3" borderId="0" xfId="0" applyFont="1" applyFill="1" applyAlignment="1" applyProtection="1">
      <alignment horizontal="center" vertical="center"/>
      <protection hidden="1"/>
    </xf>
    <xf numFmtId="0" fontId="16" fillId="0" borderId="0" xfId="0" applyFont="1"/>
    <xf numFmtId="0" fontId="16" fillId="0" borderId="0" xfId="0" applyFont="1" applyProtection="1">
      <protection hidden="1"/>
    </xf>
    <xf numFmtId="0" fontId="2" fillId="3" borderId="0" xfId="0" applyFont="1" applyFill="1" applyBorder="1" applyAlignment="1" applyProtection="1">
      <alignment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" fillId="3" borderId="0" xfId="0" applyFont="1" applyFill="1" applyBorder="1" applyAlignment="1" applyProtection="1">
      <alignment horizontal="center"/>
      <protection hidden="1"/>
    </xf>
    <xf numFmtId="9" fontId="1" fillId="3" borderId="0" xfId="1" applyFont="1" applyFill="1" applyBorder="1" applyAlignment="1" applyProtection="1">
      <alignment horizontal="center"/>
      <protection hidden="1"/>
    </xf>
    <xf numFmtId="0" fontId="1" fillId="5" borderId="22" xfId="0" applyFont="1" applyFill="1" applyBorder="1" applyAlignment="1" applyProtection="1">
      <alignment horizontal="center"/>
      <protection hidden="1"/>
    </xf>
    <xf numFmtId="0" fontId="16" fillId="4" borderId="26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left"/>
      <protection hidden="1"/>
    </xf>
    <xf numFmtId="0" fontId="16" fillId="5" borderId="26" xfId="0" applyFont="1" applyFill="1" applyBorder="1" applyAlignment="1" applyProtection="1">
      <alignment horizontal="center"/>
      <protection hidden="1"/>
    </xf>
    <xf numFmtId="0" fontId="16" fillId="3" borderId="0" xfId="0" applyFont="1" applyFill="1" applyAlignment="1" applyProtection="1">
      <alignment horizontal="center"/>
      <protection hidden="1"/>
    </xf>
    <xf numFmtId="0" fontId="16" fillId="3" borderId="0" xfId="0" applyFont="1" applyFill="1" applyBorder="1" applyAlignment="1" applyProtection="1">
      <alignment horizontal="center"/>
      <protection hidden="1"/>
    </xf>
    <xf numFmtId="0" fontId="6" fillId="3" borderId="0" xfId="0" applyFont="1" applyFill="1" applyAlignment="1" applyProtection="1">
      <alignment horizontal="left"/>
      <protection hidden="1"/>
    </xf>
    <xf numFmtId="0" fontId="1" fillId="2" borderId="41" xfId="0" applyFont="1" applyFill="1" applyBorder="1" applyProtection="1">
      <protection hidden="1"/>
    </xf>
    <xf numFmtId="0" fontId="1" fillId="2" borderId="23" xfId="0" applyFont="1" applyFill="1" applyBorder="1" applyAlignment="1" applyProtection="1">
      <alignment horizontal="center"/>
      <protection hidden="1"/>
    </xf>
    <xf numFmtId="0" fontId="1" fillId="2" borderId="27" xfId="0" applyFont="1" applyFill="1" applyBorder="1" applyAlignment="1" applyProtection="1">
      <alignment horizontal="center"/>
      <protection hidden="1"/>
    </xf>
    <xf numFmtId="1" fontId="1" fillId="3" borderId="0" xfId="0" applyNumberFormat="1" applyFont="1" applyFill="1" applyAlignment="1" applyProtection="1">
      <alignment horizontal="center"/>
      <protection hidden="1"/>
    </xf>
    <xf numFmtId="1" fontId="1" fillId="3" borderId="0" xfId="0" applyNumberFormat="1" applyFont="1" applyFill="1" applyProtection="1"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5" fillId="0" borderId="0" xfId="0" applyFont="1" applyBorder="1" applyAlignment="1" applyProtection="1">
      <alignment vertical="center"/>
      <protection hidden="1"/>
    </xf>
    <xf numFmtId="2" fontId="7" fillId="0" borderId="49" xfId="0" applyNumberFormat="1" applyFont="1" applyBorder="1" applyAlignment="1" applyProtection="1">
      <alignment horizontal="center" vertical="center"/>
      <protection locked="0" hidden="1"/>
    </xf>
    <xf numFmtId="2" fontId="7" fillId="0" borderId="50" xfId="0" applyNumberFormat="1" applyFont="1" applyBorder="1" applyAlignment="1" applyProtection="1">
      <alignment horizontal="center" vertical="center"/>
      <protection locked="0" hidden="1"/>
    </xf>
    <xf numFmtId="2" fontId="5" fillId="0" borderId="50" xfId="0" applyNumberFormat="1" applyFont="1" applyBorder="1" applyAlignment="1" applyProtection="1">
      <alignment horizontal="center" vertical="center"/>
      <protection locked="0" hidden="1"/>
    </xf>
    <xf numFmtId="2" fontId="5" fillId="0" borderId="46" xfId="0" applyNumberFormat="1" applyFont="1" applyBorder="1" applyAlignment="1" applyProtection="1">
      <alignment horizontal="center" vertical="center"/>
      <protection locked="0" hidden="1"/>
    </xf>
    <xf numFmtId="2" fontId="5" fillId="0" borderId="43" xfId="0" applyNumberFormat="1" applyFont="1" applyBorder="1" applyAlignment="1" applyProtection="1">
      <alignment horizontal="center" vertical="center"/>
      <protection locked="0" hidden="1"/>
    </xf>
    <xf numFmtId="2" fontId="7" fillId="0" borderId="43" xfId="0" applyNumberFormat="1" applyFont="1" applyBorder="1" applyAlignment="1" applyProtection="1">
      <alignment horizontal="center" vertical="center"/>
      <protection locked="0" hidden="1"/>
    </xf>
    <xf numFmtId="2" fontId="4" fillId="0" borderId="52" xfId="0" applyNumberFormat="1" applyFont="1" applyBorder="1" applyAlignment="1" applyProtection="1">
      <alignment horizontal="center" vertical="center"/>
      <protection hidden="1"/>
    </xf>
    <xf numFmtId="2" fontId="4" fillId="0" borderId="53" xfId="0" applyNumberFormat="1" applyFont="1" applyBorder="1" applyAlignment="1" applyProtection="1">
      <alignment horizontal="center" vertical="center"/>
      <protection hidden="1"/>
    </xf>
    <xf numFmtId="2" fontId="6" fillId="0" borderId="53" xfId="0" applyNumberFormat="1" applyFont="1" applyBorder="1" applyAlignment="1" applyProtection="1">
      <alignment horizontal="center" vertical="center"/>
      <protection hidden="1"/>
    </xf>
    <xf numFmtId="2" fontId="6" fillId="0" borderId="54" xfId="0" applyNumberFormat="1" applyFont="1" applyBorder="1" applyAlignment="1" applyProtection="1">
      <alignment horizontal="center" vertical="center"/>
      <protection hidden="1"/>
    </xf>
    <xf numFmtId="0" fontId="12" fillId="0" borderId="52" xfId="0" applyFont="1" applyBorder="1" applyAlignment="1" applyProtection="1">
      <alignment horizontal="center" vertical="center"/>
      <protection hidden="1"/>
    </xf>
    <xf numFmtId="0" fontId="12" fillId="0" borderId="53" xfId="0" applyFont="1" applyBorder="1" applyAlignment="1" applyProtection="1">
      <alignment horizontal="center" vertical="center"/>
      <protection hidden="1"/>
    </xf>
    <xf numFmtId="0" fontId="12" fillId="0" borderId="55" xfId="0" applyFont="1" applyBorder="1" applyAlignment="1" applyProtection="1">
      <alignment horizontal="center" vertical="center"/>
      <protection hidden="1"/>
    </xf>
    <xf numFmtId="0" fontId="12" fillId="0" borderId="54" xfId="0" applyFont="1" applyBorder="1" applyAlignment="1" applyProtection="1">
      <alignment horizontal="center" vertical="center"/>
      <protection hidden="1"/>
    </xf>
    <xf numFmtId="2" fontId="5" fillId="0" borderId="45" xfId="0" applyNumberFormat="1" applyFont="1" applyBorder="1" applyAlignment="1" applyProtection="1">
      <alignment horizontal="center" vertical="center"/>
      <protection locked="0" hidden="1"/>
    </xf>
    <xf numFmtId="2" fontId="7" fillId="0" borderId="51" xfId="0" applyNumberFormat="1" applyFont="1" applyBorder="1" applyAlignment="1" applyProtection="1">
      <alignment horizontal="center" vertical="center"/>
      <protection locked="0" hidden="1"/>
    </xf>
    <xf numFmtId="1" fontId="5" fillId="0" borderId="13" xfId="0" applyNumberFormat="1" applyFont="1" applyBorder="1" applyAlignment="1" applyProtection="1">
      <alignment horizontal="center"/>
      <protection locked="0" hidden="1"/>
    </xf>
    <xf numFmtId="1" fontId="7" fillId="0" borderId="13" xfId="0" applyNumberFormat="1" applyFont="1" applyBorder="1" applyAlignment="1" applyProtection="1">
      <alignment horizontal="center"/>
      <protection locked="0" hidden="1"/>
    </xf>
    <xf numFmtId="0" fontId="5" fillId="0" borderId="0" xfId="0" applyFont="1" applyProtection="1">
      <protection hidden="1"/>
    </xf>
    <xf numFmtId="0" fontId="5" fillId="3" borderId="0" xfId="0" applyFont="1" applyFill="1" applyProtection="1">
      <protection hidden="1"/>
    </xf>
    <xf numFmtId="1" fontId="1" fillId="3" borderId="0" xfId="0" applyNumberFormat="1" applyFont="1" applyFill="1" applyBorder="1" applyAlignment="1" applyProtection="1">
      <alignment horizontal="center"/>
      <protection hidden="1"/>
    </xf>
    <xf numFmtId="0" fontId="14" fillId="3" borderId="0" xfId="0" applyFont="1" applyFill="1" applyAlignment="1" applyProtection="1">
      <alignment horizontal="center"/>
      <protection hidden="1"/>
    </xf>
    <xf numFmtId="0" fontId="14" fillId="3" borderId="0" xfId="0" applyFont="1" applyFill="1" applyBorder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left"/>
      <protection hidden="1"/>
    </xf>
    <xf numFmtId="2" fontId="5" fillId="0" borderId="28" xfId="0" applyNumberFormat="1" applyFont="1" applyBorder="1" applyAlignment="1" applyProtection="1">
      <alignment horizontal="center" vertical="center"/>
      <protection locked="0"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2" fontId="7" fillId="0" borderId="29" xfId="0" applyNumberFormat="1" applyFont="1" applyBorder="1" applyAlignment="1" applyProtection="1">
      <alignment horizontal="center" vertical="center"/>
      <protection locked="0" hidden="1"/>
    </xf>
    <xf numFmtId="2" fontId="7" fillId="0" borderId="34" xfId="0" applyNumberFormat="1" applyFont="1" applyBorder="1" applyAlignment="1" applyProtection="1">
      <alignment horizontal="center" vertical="center"/>
      <protection locked="0"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5" fillId="0" borderId="48" xfId="0" applyFont="1" applyBorder="1" applyAlignment="1" applyProtection="1">
      <alignment horizontal="center" vertical="center"/>
      <protection hidden="1"/>
    </xf>
    <xf numFmtId="0" fontId="15" fillId="0" borderId="15" xfId="0" applyFont="1" applyBorder="1" applyAlignment="1" applyProtection="1">
      <alignment horizontal="center" vertical="center"/>
      <protection hidden="1"/>
    </xf>
    <xf numFmtId="0" fontId="15" fillId="0" borderId="44" xfId="0" applyFont="1" applyBorder="1" applyAlignment="1" applyProtection="1">
      <alignment horizontal="center" vertical="center"/>
      <protection hidden="1"/>
    </xf>
    <xf numFmtId="0" fontId="15" fillId="0" borderId="16" xfId="0" applyFont="1" applyBorder="1" applyAlignment="1" applyProtection="1">
      <alignment horizontal="center" vertical="center"/>
      <protection hidden="1"/>
    </xf>
    <xf numFmtId="0" fontId="15" fillId="0" borderId="47" xfId="0" applyFont="1" applyBorder="1" applyAlignment="1" applyProtection="1">
      <alignment horizontal="center" vertical="center"/>
      <protection hidden="1"/>
    </xf>
    <xf numFmtId="0" fontId="15" fillId="0" borderId="13" xfId="0" applyFont="1" applyBorder="1" applyAlignment="1" applyProtection="1">
      <alignment horizontal="center" vertical="center"/>
      <protection hidden="1"/>
    </xf>
    <xf numFmtId="0" fontId="15" fillId="0" borderId="42" xfId="0" applyFont="1" applyBorder="1" applyAlignment="1" applyProtection="1">
      <alignment horizontal="center" vertical="center"/>
      <protection hidden="1"/>
    </xf>
    <xf numFmtId="0" fontId="10" fillId="0" borderId="47" xfId="0" applyFont="1" applyBorder="1" applyAlignment="1" applyProtection="1">
      <alignment horizontal="center" vertical="center"/>
      <protection hidden="1"/>
    </xf>
    <xf numFmtId="0" fontId="10" fillId="0" borderId="13" xfId="0" applyFont="1" applyBorder="1" applyAlignment="1" applyProtection="1">
      <alignment horizontal="center" vertical="center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15" fillId="0" borderId="14" xfId="0" applyFont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4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Border="1" applyAlignment="1" applyProtection="1">
      <alignment horizontal="center" vertical="center"/>
      <protection hidden="1"/>
    </xf>
    <xf numFmtId="0" fontId="8" fillId="2" borderId="5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 applyProtection="1">
      <alignment horizontal="center" vertical="center"/>
      <protection hidden="1"/>
    </xf>
    <xf numFmtId="0" fontId="10" fillId="0" borderId="33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8" fillId="7" borderId="17" xfId="0" applyFont="1" applyFill="1" applyBorder="1" applyAlignment="1" applyProtection="1">
      <alignment horizontal="center" vertical="center"/>
      <protection hidden="1"/>
    </xf>
    <xf numFmtId="0" fontId="8" fillId="7" borderId="18" xfId="0" applyFont="1" applyFill="1" applyBorder="1" applyAlignment="1" applyProtection="1">
      <alignment horizontal="center" vertical="center"/>
      <protection hidden="1"/>
    </xf>
    <xf numFmtId="0" fontId="8" fillId="7" borderId="19" xfId="0" applyFont="1" applyFill="1" applyBorder="1" applyAlignment="1" applyProtection="1">
      <alignment horizontal="center" vertical="center"/>
      <protection hidden="1"/>
    </xf>
    <xf numFmtId="0" fontId="8" fillId="7" borderId="22" xfId="0" applyFont="1" applyFill="1" applyBorder="1" applyAlignment="1" applyProtection="1">
      <alignment horizontal="center" vertical="center"/>
      <protection hidden="1"/>
    </xf>
    <xf numFmtId="0" fontId="8" fillId="7" borderId="13" xfId="0" applyFont="1" applyFill="1" applyBorder="1" applyAlignment="1" applyProtection="1">
      <alignment horizontal="center" vertical="center"/>
      <protection hidden="1"/>
    </xf>
    <xf numFmtId="0" fontId="8" fillId="7" borderId="14" xfId="0" applyFont="1" applyFill="1" applyBorder="1" applyAlignment="1" applyProtection="1">
      <alignment horizontal="center" vertical="center"/>
      <protection hidden="1"/>
    </xf>
    <xf numFmtId="0" fontId="8" fillId="7" borderId="20" xfId="0" applyFont="1" applyFill="1" applyBorder="1" applyAlignment="1" applyProtection="1">
      <alignment horizontal="center" vertical="center"/>
      <protection hidden="1"/>
    </xf>
    <xf numFmtId="0" fontId="8" fillId="7" borderId="15" xfId="0" applyFont="1" applyFill="1" applyBorder="1" applyAlignment="1" applyProtection="1">
      <alignment horizontal="center" vertical="center"/>
      <protection hidden="1"/>
    </xf>
    <xf numFmtId="0" fontId="8" fillId="7" borderId="16" xfId="0" applyFont="1" applyFill="1" applyBorder="1" applyAlignment="1" applyProtection="1">
      <alignment horizontal="center" vertical="center"/>
      <protection hidden="1"/>
    </xf>
    <xf numFmtId="0" fontId="8" fillId="7" borderId="4" xfId="0" applyFont="1" applyFill="1" applyBorder="1" applyAlignment="1" applyProtection="1">
      <alignment horizontal="center" vertical="center"/>
      <protection hidden="1"/>
    </xf>
    <xf numFmtId="0" fontId="8" fillId="7" borderId="0" xfId="0" applyFont="1" applyFill="1" applyBorder="1" applyAlignment="1" applyProtection="1">
      <alignment horizontal="center" vertical="center"/>
      <protection hidden="1"/>
    </xf>
    <xf numFmtId="0" fontId="8" fillId="7" borderId="37" xfId="0" applyFont="1" applyFill="1" applyBorder="1" applyAlignment="1" applyProtection="1">
      <alignment horizontal="center" vertical="center"/>
      <protection hidden="1"/>
    </xf>
    <xf numFmtId="0" fontId="8" fillId="7" borderId="6" xfId="0" applyFont="1" applyFill="1" applyBorder="1" applyAlignment="1" applyProtection="1">
      <alignment horizontal="center" vertical="center"/>
      <protection hidden="1"/>
    </xf>
    <xf numFmtId="0" fontId="8" fillId="7" borderId="7" xfId="0" applyFont="1" applyFill="1" applyBorder="1" applyAlignment="1" applyProtection="1">
      <alignment horizontal="center" vertical="center"/>
      <protection hidden="1"/>
    </xf>
    <xf numFmtId="0" fontId="8" fillId="7" borderId="39" xfId="0" applyFont="1" applyFill="1" applyBorder="1" applyAlignment="1" applyProtection="1">
      <alignment horizontal="center" vertical="center"/>
      <protection hidden="1"/>
    </xf>
    <xf numFmtId="0" fontId="9" fillId="7" borderId="11" xfId="0" applyFont="1" applyFill="1" applyBorder="1" applyAlignment="1" applyProtection="1">
      <alignment horizontal="center" vertical="center"/>
      <protection hidden="1"/>
    </xf>
    <xf numFmtId="0" fontId="9" fillId="7" borderId="15" xfId="0" applyFont="1" applyFill="1" applyBorder="1" applyAlignment="1" applyProtection="1">
      <alignment horizontal="center" vertical="center"/>
      <protection hidden="1"/>
    </xf>
    <xf numFmtId="0" fontId="8" fillId="7" borderId="38" xfId="0" applyFont="1" applyFill="1" applyBorder="1" applyAlignment="1" applyProtection="1">
      <alignment horizontal="center" vertical="center"/>
      <protection hidden="1"/>
    </xf>
    <xf numFmtId="0" fontId="8" fillId="7" borderId="5" xfId="0" applyFont="1" applyFill="1" applyBorder="1" applyAlignment="1" applyProtection="1">
      <alignment horizontal="center" vertical="center"/>
      <protection hidden="1"/>
    </xf>
    <xf numFmtId="0" fontId="8" fillId="7" borderId="40" xfId="0" applyFont="1" applyFill="1" applyBorder="1" applyAlignment="1" applyProtection="1">
      <alignment horizontal="center" vertical="center"/>
      <protection hidden="1"/>
    </xf>
    <xf numFmtId="0" fontId="8" fillId="7" borderId="8" xfId="0" applyFont="1" applyFill="1" applyBorder="1" applyAlignment="1" applyProtection="1">
      <alignment horizontal="center" vertical="center"/>
      <protection hidden="1"/>
    </xf>
    <xf numFmtId="0" fontId="4" fillId="0" borderId="13" xfId="0" applyFont="1" applyBorder="1" applyAlignment="1" applyProtection="1">
      <alignment horizontal="center"/>
      <protection hidden="1"/>
    </xf>
    <xf numFmtId="0" fontId="2" fillId="2" borderId="17" xfId="0" applyFont="1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2" fillId="2" borderId="19" xfId="0" applyFont="1" applyFill="1" applyBorder="1" applyAlignment="1" applyProtection="1">
      <alignment horizontal="center" vertical="center"/>
      <protection hidden="1"/>
    </xf>
    <xf numFmtId="0" fontId="2" fillId="2" borderId="22" xfId="0" applyFont="1" applyFill="1" applyBorder="1" applyAlignment="1" applyProtection="1">
      <alignment horizontal="center" vertical="center"/>
      <protection hidden="1"/>
    </xf>
    <xf numFmtId="0" fontId="2" fillId="2" borderId="13" xfId="0" applyFont="1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2" fillId="2" borderId="20" xfId="0" applyFont="1" applyFill="1" applyBorder="1" applyAlignment="1" applyProtection="1">
      <alignment horizontal="center" vertical="center"/>
      <protection hidden="1"/>
    </xf>
    <xf numFmtId="0" fontId="2" fillId="2" borderId="15" xfId="0" applyFont="1" applyFill="1" applyBorder="1" applyAlignment="1" applyProtection="1">
      <alignment horizontal="center" vertical="center"/>
      <protection hidden="1"/>
    </xf>
    <xf numFmtId="0" fontId="2" fillId="2" borderId="16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8" xfId="0" applyFont="1" applyFill="1" applyBorder="1" applyAlignment="1" applyProtection="1">
      <alignment horizontal="center" vertical="center"/>
      <protection hidden="1"/>
    </xf>
    <xf numFmtId="0" fontId="8" fillId="7" borderId="1" xfId="0" applyFont="1" applyFill="1" applyBorder="1" applyAlignment="1" applyProtection="1">
      <alignment horizontal="center" vertical="center"/>
      <protection hidden="1"/>
    </xf>
    <xf numFmtId="0" fontId="8" fillId="7" borderId="2" xfId="0" applyFont="1" applyFill="1" applyBorder="1" applyAlignment="1" applyProtection="1">
      <alignment horizontal="center" vertical="center"/>
      <protection hidden="1"/>
    </xf>
    <xf numFmtId="0" fontId="8" fillId="7" borderId="3" xfId="0" applyFont="1" applyFill="1" applyBorder="1" applyAlignment="1" applyProtection="1">
      <alignment horizontal="center" vertical="center"/>
      <protection hidden="1"/>
    </xf>
    <xf numFmtId="0" fontId="10" fillId="0" borderId="30" xfId="0" applyFont="1" applyBorder="1" applyAlignment="1" applyProtection="1">
      <alignment horizontal="center" vertical="center"/>
      <protection hidden="1"/>
    </xf>
    <xf numFmtId="0" fontId="10" fillId="0" borderId="31" xfId="0" applyFont="1" applyBorder="1" applyAlignment="1" applyProtection="1">
      <alignment horizontal="center" vertical="center"/>
      <protection hidden="1"/>
    </xf>
    <xf numFmtId="0" fontId="10" fillId="0" borderId="32" xfId="0" applyFont="1" applyBorder="1" applyAlignment="1" applyProtection="1">
      <alignment horizontal="center" vertical="center"/>
      <protection hidden="1"/>
    </xf>
    <xf numFmtId="0" fontId="10" fillId="0" borderId="15" xfId="0" applyFont="1" applyBorder="1" applyAlignment="1" applyProtection="1">
      <alignment horizontal="center" vertical="center"/>
      <protection hidden="1"/>
    </xf>
    <xf numFmtId="0" fontId="9" fillId="7" borderId="1" xfId="0" applyFont="1" applyFill="1" applyBorder="1" applyAlignment="1" applyProtection="1">
      <alignment horizontal="center" vertical="center"/>
      <protection hidden="1"/>
    </xf>
    <xf numFmtId="0" fontId="9" fillId="7" borderId="2" xfId="0" applyFont="1" applyFill="1" applyBorder="1" applyAlignment="1" applyProtection="1">
      <alignment horizontal="center" vertical="center"/>
      <protection hidden="1"/>
    </xf>
    <xf numFmtId="0" fontId="9" fillId="7" borderId="3" xfId="0" applyFont="1" applyFill="1" applyBorder="1" applyAlignment="1" applyProtection="1">
      <alignment horizontal="center" vertical="center"/>
      <protection hidden="1"/>
    </xf>
    <xf numFmtId="0" fontId="9" fillId="7" borderId="6" xfId="0" applyFont="1" applyFill="1" applyBorder="1" applyAlignment="1" applyProtection="1">
      <alignment horizontal="center" vertical="center"/>
      <protection hidden="1"/>
    </xf>
    <xf numFmtId="0" fontId="9" fillId="7" borderId="7" xfId="0" applyFont="1" applyFill="1" applyBorder="1" applyAlignment="1" applyProtection="1">
      <alignment horizontal="center" vertical="center"/>
      <protection hidden="1"/>
    </xf>
    <xf numFmtId="0" fontId="9" fillId="7" borderId="8" xfId="0" applyFont="1" applyFill="1" applyBorder="1" applyAlignment="1" applyProtection="1">
      <alignment horizontal="center" vertical="center"/>
      <protection hidden="1"/>
    </xf>
    <xf numFmtId="0" fontId="10" fillId="0" borderId="16" xfId="0" applyFont="1" applyBorder="1" applyAlignment="1" applyProtection="1">
      <alignment horizontal="center" vertical="center"/>
      <protection hidden="1"/>
    </xf>
    <xf numFmtId="0" fontId="9" fillId="7" borderId="4" xfId="0" applyFont="1" applyFill="1" applyBorder="1" applyAlignment="1" applyProtection="1">
      <alignment horizontal="center" vertical="center"/>
      <protection hidden="1"/>
    </xf>
    <xf numFmtId="0" fontId="9" fillId="7" borderId="0" xfId="0" applyFont="1" applyFill="1" applyBorder="1" applyAlignment="1" applyProtection="1">
      <alignment horizontal="center" vertical="center"/>
      <protection hidden="1"/>
    </xf>
    <xf numFmtId="0" fontId="9" fillId="7" borderId="5" xfId="0" applyFont="1" applyFill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0" borderId="2" xfId="0" applyFont="1" applyBorder="1" applyAlignment="1" applyProtection="1">
      <alignment horizontal="center" vertical="center"/>
      <protection hidden="1"/>
    </xf>
    <xf numFmtId="0" fontId="13" fillId="0" borderId="3" xfId="0" applyFont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5" xfId="0" applyFont="1" applyBorder="1" applyAlignment="1" applyProtection="1">
      <alignment horizontal="center" vertical="center"/>
      <protection hidden="1"/>
    </xf>
    <xf numFmtId="0" fontId="13" fillId="0" borderId="6" xfId="0" applyFont="1" applyBorder="1" applyAlignment="1" applyProtection="1">
      <alignment horizontal="center" vertical="center"/>
      <protection hidden="1"/>
    </xf>
    <xf numFmtId="0" fontId="13" fillId="0" borderId="7" xfId="0" applyFont="1" applyBorder="1" applyAlignment="1" applyProtection="1">
      <alignment horizontal="center" vertical="center"/>
      <protection hidden="1"/>
    </xf>
    <xf numFmtId="0" fontId="13" fillId="0" borderId="8" xfId="0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2" fontId="5" fillId="0" borderId="34" xfId="0" applyNumberFormat="1" applyFont="1" applyBorder="1" applyAlignment="1" applyProtection="1">
      <alignment horizontal="center" vertical="center"/>
      <protection locked="0" hidden="1"/>
    </xf>
    <xf numFmtId="2" fontId="7" fillId="0" borderId="33" xfId="0" applyNumberFormat="1" applyFont="1" applyBorder="1" applyAlignment="1" applyProtection="1">
      <alignment horizontal="center" vertical="center"/>
      <protection locked="0"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122465</xdr:colOff>
      <xdr:row>1</xdr:row>
      <xdr:rowOff>81643</xdr:rowOff>
    </xdr:from>
    <xdr:to>
      <xdr:col>8</xdr:col>
      <xdr:colOff>587830</xdr:colOff>
      <xdr:row>11</xdr:row>
      <xdr:rowOff>190499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47108" y="272143"/>
          <a:ext cx="4139293" cy="2013856"/>
        </a:xfrm>
        <a:prstGeom prst="rect">
          <a:avLst/>
        </a:prstGeom>
      </xdr:spPr>
    </xdr:pic>
    <xdr:clientData/>
  </xdr:twoCellAnchor>
  <xdr:twoCellAnchor editAs="oneCell">
    <xdr:from>
      <xdr:col>13</xdr:col>
      <xdr:colOff>46264</xdr:colOff>
      <xdr:row>0</xdr:row>
      <xdr:rowOff>136071</xdr:rowOff>
    </xdr:from>
    <xdr:to>
      <xdr:col>20</xdr:col>
      <xdr:colOff>142809</xdr:colOff>
      <xdr:row>10</xdr:row>
      <xdr:rowOff>167900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006443" y="136071"/>
          <a:ext cx="4382795" cy="19368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1</xdr:rowOff>
    </xdr:from>
    <xdr:to>
      <xdr:col>6</xdr:col>
      <xdr:colOff>189891</xdr:colOff>
      <xdr:row>11</xdr:row>
      <xdr:rowOff>108857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72144" y="190501"/>
          <a:ext cx="4122964" cy="2013856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</xdr:row>
      <xdr:rowOff>0</xdr:rowOff>
    </xdr:from>
    <xdr:to>
      <xdr:col>19</xdr:col>
      <xdr:colOff>99226</xdr:colOff>
      <xdr:row>11</xdr:row>
      <xdr:rowOff>31829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884964" y="190500"/>
          <a:ext cx="4363745" cy="1936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cupir@%20Dortmund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3:AM134"/>
  <sheetViews>
    <sheetView showGridLines="0" showRowColHeaders="0" topLeftCell="A16" zoomScale="70" zoomScaleNormal="70" workbookViewId="0">
      <selection activeCell="AB83" sqref="AB83"/>
    </sheetView>
  </sheetViews>
  <sheetFormatPr defaultRowHeight="15"/>
  <cols>
    <col min="24" max="39" width="9.140625" style="68"/>
  </cols>
  <sheetData>
    <row r="13" spans="2:22" ht="15.75" thickBot="1"/>
    <row r="14" spans="2:22" ht="15" customHeight="1">
      <c r="B14" s="164" t="s">
        <v>39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5"/>
      <c r="R14" s="165"/>
      <c r="S14" s="165"/>
      <c r="T14" s="165"/>
      <c r="U14" s="165"/>
      <c r="V14" s="166"/>
    </row>
    <row r="15" spans="2:22" ht="15" customHeight="1">
      <c r="B15" s="167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9"/>
    </row>
    <row r="16" spans="2:22" ht="15.75" customHeight="1" thickBot="1">
      <c r="B16" s="170"/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  <c r="Q16" s="171"/>
      <c r="R16" s="171"/>
      <c r="S16" s="171"/>
      <c r="T16" s="171"/>
      <c r="U16" s="171"/>
      <c r="V16" s="172"/>
    </row>
    <row r="17" spans="2:39" ht="15.75" thickBot="1"/>
    <row r="18" spans="2:39">
      <c r="B18" s="176" t="s">
        <v>155</v>
      </c>
      <c r="C18" s="177"/>
      <c r="D18" s="177"/>
      <c r="E18" s="177"/>
      <c r="F18" s="177"/>
      <c r="G18" s="177"/>
      <c r="H18" s="177"/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8"/>
    </row>
    <row r="19" spans="2:39">
      <c r="B19" s="179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1"/>
    </row>
    <row r="20" spans="2:39" ht="15.75" thickBot="1">
      <c r="B20" s="182"/>
      <c r="C20" s="183"/>
      <c r="D20" s="183"/>
      <c r="E20" s="183"/>
      <c r="F20" s="183"/>
      <c r="G20" s="183"/>
      <c r="H20" s="183"/>
      <c r="I20" s="183"/>
      <c r="J20" s="183"/>
      <c r="K20" s="183"/>
      <c r="L20" s="183"/>
      <c r="M20" s="183"/>
      <c r="N20" s="183"/>
      <c r="O20" s="183"/>
      <c r="P20" s="183"/>
      <c r="Q20" s="183"/>
      <c r="R20" s="183"/>
      <c r="S20" s="183"/>
      <c r="T20" s="183"/>
      <c r="U20" s="183"/>
      <c r="V20" s="184"/>
    </row>
    <row r="21" spans="2:39">
      <c r="B21" s="185"/>
      <c r="C21" s="186"/>
      <c r="D21" s="186"/>
      <c r="E21" s="186"/>
      <c r="F21" s="186"/>
      <c r="G21" s="186"/>
      <c r="H21" s="187"/>
      <c r="I21" s="191" t="s">
        <v>198</v>
      </c>
      <c r="J21" s="191"/>
      <c r="K21" s="191"/>
      <c r="L21" s="191"/>
      <c r="M21" s="191"/>
      <c r="N21" s="191"/>
      <c r="O21" s="191"/>
      <c r="P21" s="191"/>
      <c r="Q21" s="193"/>
      <c r="R21" s="186"/>
      <c r="S21" s="186"/>
      <c r="T21" s="186"/>
      <c r="U21" s="186"/>
      <c r="V21" s="194"/>
    </row>
    <row r="22" spans="2:39" ht="16.5" customHeight="1" thickBot="1">
      <c r="B22" s="188"/>
      <c r="C22" s="189"/>
      <c r="D22" s="189"/>
      <c r="E22" s="189"/>
      <c r="F22" s="189"/>
      <c r="G22" s="189"/>
      <c r="H22" s="190"/>
      <c r="I22" s="192"/>
      <c r="J22" s="192"/>
      <c r="K22" s="192"/>
      <c r="L22" s="192"/>
      <c r="M22" s="192"/>
      <c r="N22" s="192"/>
      <c r="O22" s="192"/>
      <c r="P22" s="192"/>
      <c r="Q22" s="195"/>
      <c r="R22" s="189"/>
      <c r="S22" s="189"/>
      <c r="T22" s="189"/>
      <c r="U22" s="189"/>
      <c r="V22" s="196"/>
    </row>
    <row r="23" spans="2:39" ht="28.5">
      <c r="B23" s="134" t="s">
        <v>45</v>
      </c>
      <c r="C23" s="157" t="s">
        <v>275</v>
      </c>
      <c r="D23" s="158"/>
      <c r="E23" s="158"/>
      <c r="F23" s="158"/>
      <c r="G23" s="158"/>
      <c r="H23" s="158"/>
      <c r="I23" s="158"/>
      <c r="J23" s="159"/>
      <c r="K23" s="124">
        <v>61.95</v>
      </c>
      <c r="L23" s="130" t="s">
        <v>43</v>
      </c>
      <c r="M23" s="127">
        <v>29.2</v>
      </c>
      <c r="N23" s="173" t="s">
        <v>200</v>
      </c>
      <c r="O23" s="174"/>
      <c r="P23" s="174"/>
      <c r="Q23" s="174"/>
      <c r="R23" s="174"/>
      <c r="S23" s="174"/>
      <c r="T23" s="174"/>
      <c r="U23" s="174"/>
      <c r="V23" s="175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</row>
    <row r="24" spans="2:39" ht="28.5">
      <c r="B24" s="135" t="s">
        <v>46</v>
      </c>
      <c r="C24" s="157" t="s">
        <v>276</v>
      </c>
      <c r="D24" s="158"/>
      <c r="E24" s="158"/>
      <c r="F24" s="158"/>
      <c r="G24" s="158"/>
      <c r="H24" s="158"/>
      <c r="I24" s="158"/>
      <c r="J24" s="159"/>
      <c r="K24" s="126">
        <v>30.01</v>
      </c>
      <c r="L24" s="131" t="s">
        <v>43</v>
      </c>
      <c r="M24" s="129">
        <v>37.04</v>
      </c>
      <c r="N24" s="160" t="s">
        <v>204</v>
      </c>
      <c r="O24" s="161"/>
      <c r="P24" s="161"/>
      <c r="Q24" s="161"/>
      <c r="R24" s="161"/>
      <c r="S24" s="161"/>
      <c r="T24" s="161"/>
      <c r="U24" s="161"/>
      <c r="V24" s="162"/>
      <c r="X24" s="152"/>
      <c r="Y24" s="152"/>
      <c r="Z24" s="152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</row>
    <row r="25" spans="2:39" ht="28.5">
      <c r="B25" s="136" t="s">
        <v>47</v>
      </c>
      <c r="C25" s="157" t="s">
        <v>277</v>
      </c>
      <c r="D25" s="158"/>
      <c r="E25" s="158"/>
      <c r="F25" s="158"/>
      <c r="G25" s="158"/>
      <c r="H25" s="158"/>
      <c r="I25" s="158"/>
      <c r="J25" s="159"/>
      <c r="K25" s="125">
        <v>62.55</v>
      </c>
      <c r="L25" s="131" t="s">
        <v>43</v>
      </c>
      <c r="M25" s="128">
        <v>43.25</v>
      </c>
      <c r="N25" s="173" t="s">
        <v>208</v>
      </c>
      <c r="O25" s="174"/>
      <c r="P25" s="174"/>
      <c r="Q25" s="174"/>
      <c r="R25" s="174"/>
      <c r="S25" s="174"/>
      <c r="T25" s="174"/>
      <c r="U25" s="174"/>
      <c r="V25" s="175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</row>
    <row r="26" spans="2:39" ht="28.5">
      <c r="B26" s="135" t="s">
        <v>48</v>
      </c>
      <c r="C26" s="157" t="s">
        <v>316</v>
      </c>
      <c r="D26" s="158"/>
      <c r="E26" s="158"/>
      <c r="F26" s="158"/>
      <c r="G26" s="158"/>
      <c r="H26" s="158"/>
      <c r="I26" s="158"/>
      <c r="J26" s="159"/>
      <c r="K26" s="126">
        <v>63.75</v>
      </c>
      <c r="L26" s="131" t="s">
        <v>43</v>
      </c>
      <c r="M26" s="129">
        <v>68.33</v>
      </c>
      <c r="N26" s="160" t="s">
        <v>211</v>
      </c>
      <c r="O26" s="161"/>
      <c r="P26" s="161"/>
      <c r="Q26" s="161"/>
      <c r="R26" s="161"/>
      <c r="S26" s="161"/>
      <c r="T26" s="161"/>
      <c r="U26" s="161"/>
      <c r="V26" s="162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</row>
    <row r="27" spans="2:39" ht="28.5">
      <c r="B27" s="136" t="s">
        <v>49</v>
      </c>
      <c r="C27" s="157" t="s">
        <v>285</v>
      </c>
      <c r="D27" s="158"/>
      <c r="E27" s="158"/>
      <c r="F27" s="158"/>
      <c r="G27" s="158"/>
      <c r="H27" s="158"/>
      <c r="I27" s="158"/>
      <c r="J27" s="159"/>
      <c r="K27" s="126">
        <v>33.85</v>
      </c>
      <c r="L27" s="131" t="s">
        <v>43</v>
      </c>
      <c r="M27" s="129" t="s">
        <v>325</v>
      </c>
      <c r="N27" s="160" t="s">
        <v>215</v>
      </c>
      <c r="O27" s="161"/>
      <c r="P27" s="161"/>
      <c r="Q27" s="161"/>
      <c r="R27" s="161"/>
      <c r="S27" s="161"/>
      <c r="T27" s="161"/>
      <c r="U27" s="161"/>
      <c r="V27" s="16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</row>
    <row r="28" spans="2:39" ht="28.5">
      <c r="B28" s="135" t="s">
        <v>50</v>
      </c>
      <c r="C28" s="157" t="s">
        <v>302</v>
      </c>
      <c r="D28" s="158"/>
      <c r="E28" s="158"/>
      <c r="F28" s="158"/>
      <c r="G28" s="158"/>
      <c r="H28" s="158"/>
      <c r="I28" s="158"/>
      <c r="J28" s="159"/>
      <c r="K28" s="125">
        <v>63.25</v>
      </c>
      <c r="L28" s="131" t="s">
        <v>43</v>
      </c>
      <c r="M28" s="128">
        <v>31.04</v>
      </c>
      <c r="N28" s="160" t="s">
        <v>255</v>
      </c>
      <c r="O28" s="161"/>
      <c r="P28" s="161"/>
      <c r="Q28" s="161"/>
      <c r="R28" s="161"/>
      <c r="S28" s="161"/>
      <c r="T28" s="161"/>
      <c r="U28" s="161"/>
      <c r="V28" s="162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2"/>
      <c r="AL28" s="152"/>
      <c r="AM28" s="152"/>
    </row>
    <row r="29" spans="2:39" ht="28.5">
      <c r="B29" s="136" t="s">
        <v>51</v>
      </c>
      <c r="C29" s="157" t="s">
        <v>278</v>
      </c>
      <c r="D29" s="158"/>
      <c r="E29" s="158"/>
      <c r="F29" s="158"/>
      <c r="G29" s="158"/>
      <c r="H29" s="158"/>
      <c r="I29" s="158"/>
      <c r="J29" s="159"/>
      <c r="K29" s="125">
        <v>66.25</v>
      </c>
      <c r="L29" s="131" t="s">
        <v>43</v>
      </c>
      <c r="M29" s="128">
        <v>29.5</v>
      </c>
      <c r="N29" s="160" t="s">
        <v>219</v>
      </c>
      <c r="O29" s="161"/>
      <c r="P29" s="161"/>
      <c r="Q29" s="161"/>
      <c r="R29" s="161"/>
      <c r="S29" s="161"/>
      <c r="T29" s="161"/>
      <c r="U29" s="161"/>
      <c r="V29" s="16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</row>
    <row r="30" spans="2:39" ht="28.5">
      <c r="B30" s="135" t="s">
        <v>52</v>
      </c>
      <c r="C30" s="157" t="s">
        <v>315</v>
      </c>
      <c r="D30" s="158"/>
      <c r="E30" s="158"/>
      <c r="F30" s="158"/>
      <c r="G30" s="158"/>
      <c r="H30" s="158"/>
      <c r="I30" s="158"/>
      <c r="J30" s="159"/>
      <c r="K30" s="125">
        <v>63.95</v>
      </c>
      <c r="L30" s="131" t="s">
        <v>43</v>
      </c>
      <c r="M30" s="128">
        <v>39.549999999999997</v>
      </c>
      <c r="N30" s="160" t="s">
        <v>247</v>
      </c>
      <c r="O30" s="161"/>
      <c r="P30" s="161"/>
      <c r="Q30" s="161"/>
      <c r="R30" s="161"/>
      <c r="S30" s="161"/>
      <c r="T30" s="161"/>
      <c r="U30" s="161"/>
      <c r="V30" s="162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</row>
    <row r="31" spans="2:39" ht="28.5">
      <c r="B31" s="136" t="s">
        <v>54</v>
      </c>
      <c r="C31" s="157" t="s">
        <v>286</v>
      </c>
      <c r="D31" s="158"/>
      <c r="E31" s="158"/>
      <c r="F31" s="158"/>
      <c r="G31" s="158"/>
      <c r="H31" s="158"/>
      <c r="I31" s="158"/>
      <c r="J31" s="159"/>
      <c r="K31" s="125">
        <v>46.65</v>
      </c>
      <c r="L31" s="131" t="s">
        <v>43</v>
      </c>
      <c r="M31" s="128">
        <v>43.05</v>
      </c>
      <c r="N31" s="160" t="s">
        <v>223</v>
      </c>
      <c r="O31" s="161"/>
      <c r="P31" s="161"/>
      <c r="Q31" s="161"/>
      <c r="R31" s="161"/>
      <c r="S31" s="161"/>
      <c r="T31" s="161"/>
      <c r="U31" s="161"/>
      <c r="V31" s="16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</row>
    <row r="32" spans="2:39" ht="28.5">
      <c r="B32" s="135" t="s">
        <v>55</v>
      </c>
      <c r="C32" s="157" t="s">
        <v>301</v>
      </c>
      <c r="D32" s="158"/>
      <c r="E32" s="158"/>
      <c r="F32" s="158"/>
      <c r="G32" s="158"/>
      <c r="H32" s="158"/>
      <c r="I32" s="158"/>
      <c r="J32" s="159"/>
      <c r="K32" s="125">
        <v>72.66</v>
      </c>
      <c r="L32" s="131" t="s">
        <v>43</v>
      </c>
      <c r="M32" s="128">
        <v>64.95</v>
      </c>
      <c r="N32" s="160" t="s">
        <v>256</v>
      </c>
      <c r="O32" s="161"/>
      <c r="P32" s="161"/>
      <c r="Q32" s="161"/>
      <c r="R32" s="161"/>
      <c r="S32" s="161"/>
      <c r="T32" s="161"/>
      <c r="U32" s="161"/>
      <c r="V32" s="16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</row>
    <row r="33" spans="2:39" ht="28.5">
      <c r="B33" s="136" t="s">
        <v>56</v>
      </c>
      <c r="C33" s="157" t="s">
        <v>279</v>
      </c>
      <c r="D33" s="158"/>
      <c r="E33" s="158"/>
      <c r="F33" s="158"/>
      <c r="G33" s="158"/>
      <c r="H33" s="158"/>
      <c r="I33" s="158"/>
      <c r="J33" s="159"/>
      <c r="K33" s="125">
        <v>61.85</v>
      </c>
      <c r="L33" s="131" t="s">
        <v>43</v>
      </c>
      <c r="M33" s="128">
        <v>6.6</v>
      </c>
      <c r="N33" s="160" t="s">
        <v>236</v>
      </c>
      <c r="O33" s="161"/>
      <c r="P33" s="161"/>
      <c r="Q33" s="161"/>
      <c r="R33" s="161"/>
      <c r="S33" s="161"/>
      <c r="T33" s="161"/>
      <c r="U33" s="161"/>
      <c r="V33" s="16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</row>
    <row r="34" spans="2:39" ht="28.5">
      <c r="B34" s="135" t="s">
        <v>57</v>
      </c>
      <c r="C34" s="157" t="s">
        <v>314</v>
      </c>
      <c r="D34" s="158"/>
      <c r="E34" s="158"/>
      <c r="F34" s="158"/>
      <c r="G34" s="158"/>
      <c r="H34" s="158"/>
      <c r="I34" s="158"/>
      <c r="J34" s="159"/>
      <c r="K34" s="125">
        <v>68.95</v>
      </c>
      <c r="L34" s="131" t="s">
        <v>43</v>
      </c>
      <c r="M34" s="128">
        <v>60.35</v>
      </c>
      <c r="N34" s="160" t="s">
        <v>248</v>
      </c>
      <c r="O34" s="161"/>
      <c r="P34" s="161"/>
      <c r="Q34" s="161"/>
      <c r="R34" s="161"/>
      <c r="S34" s="161"/>
      <c r="T34" s="161"/>
      <c r="U34" s="161"/>
      <c r="V34" s="162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</row>
    <row r="35" spans="2:39" ht="28.5">
      <c r="B35" s="136" t="s">
        <v>59</v>
      </c>
      <c r="C35" s="157" t="s">
        <v>287</v>
      </c>
      <c r="D35" s="158"/>
      <c r="E35" s="158"/>
      <c r="F35" s="158"/>
      <c r="G35" s="158"/>
      <c r="H35" s="158"/>
      <c r="I35" s="158"/>
      <c r="J35" s="159"/>
      <c r="K35" s="125">
        <v>83.85</v>
      </c>
      <c r="L35" s="131" t="s">
        <v>43</v>
      </c>
      <c r="M35" s="128">
        <v>41.15</v>
      </c>
      <c r="N35" s="160" t="s">
        <v>201</v>
      </c>
      <c r="O35" s="161"/>
      <c r="P35" s="161"/>
      <c r="Q35" s="161"/>
      <c r="R35" s="161"/>
      <c r="S35" s="161"/>
      <c r="T35" s="161"/>
      <c r="U35" s="161"/>
      <c r="V35" s="16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</row>
    <row r="36" spans="2:39" ht="28.5">
      <c r="B36" s="135" t="s">
        <v>60</v>
      </c>
      <c r="C36" s="157" t="s">
        <v>300</v>
      </c>
      <c r="D36" s="158"/>
      <c r="E36" s="158"/>
      <c r="F36" s="158"/>
      <c r="G36" s="158"/>
      <c r="H36" s="158"/>
      <c r="I36" s="158"/>
      <c r="J36" s="159"/>
      <c r="K36" s="126">
        <v>37.35</v>
      </c>
      <c r="L36" s="131" t="s">
        <v>43</v>
      </c>
      <c r="M36" s="129">
        <v>67.430000000000007</v>
      </c>
      <c r="N36" s="160" t="s">
        <v>257</v>
      </c>
      <c r="O36" s="161"/>
      <c r="P36" s="161"/>
      <c r="Q36" s="161"/>
      <c r="R36" s="161"/>
      <c r="S36" s="161"/>
      <c r="T36" s="161"/>
      <c r="U36" s="161"/>
      <c r="V36" s="16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</row>
    <row r="37" spans="2:39" ht="28.5">
      <c r="B37" s="136" t="s">
        <v>61</v>
      </c>
      <c r="C37" s="157" t="s">
        <v>280</v>
      </c>
      <c r="D37" s="158"/>
      <c r="E37" s="158"/>
      <c r="F37" s="158"/>
      <c r="G37" s="158"/>
      <c r="H37" s="158"/>
      <c r="I37" s="158"/>
      <c r="J37" s="159"/>
      <c r="K37" s="126">
        <v>54.45</v>
      </c>
      <c r="L37" s="131" t="s">
        <v>43</v>
      </c>
      <c r="M37" s="129">
        <v>68.45</v>
      </c>
      <c r="N37" s="160" t="s">
        <v>205</v>
      </c>
      <c r="O37" s="161"/>
      <c r="P37" s="161"/>
      <c r="Q37" s="161"/>
      <c r="R37" s="161"/>
      <c r="S37" s="161"/>
      <c r="T37" s="161"/>
      <c r="U37" s="161"/>
      <c r="V37" s="162"/>
      <c r="X37" s="152"/>
      <c r="Y37" s="152"/>
      <c r="Z37" s="152"/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</row>
    <row r="38" spans="2:39" ht="28.5">
      <c r="B38" s="135" t="s">
        <v>62</v>
      </c>
      <c r="C38" s="157" t="s">
        <v>313</v>
      </c>
      <c r="D38" s="158"/>
      <c r="E38" s="158"/>
      <c r="F38" s="158"/>
      <c r="G38" s="158"/>
      <c r="H38" s="158"/>
      <c r="I38" s="158"/>
      <c r="J38" s="159"/>
      <c r="K38" s="125">
        <v>66.75</v>
      </c>
      <c r="L38" s="131" t="s">
        <v>43</v>
      </c>
      <c r="M38" s="128">
        <v>50.07</v>
      </c>
      <c r="N38" s="160" t="s">
        <v>249</v>
      </c>
      <c r="O38" s="161"/>
      <c r="P38" s="161"/>
      <c r="Q38" s="161"/>
      <c r="R38" s="161"/>
      <c r="S38" s="161"/>
      <c r="T38" s="161"/>
      <c r="U38" s="161"/>
      <c r="V38" s="162"/>
      <c r="X38" s="152"/>
      <c r="Y38" s="152"/>
      <c r="Z38" s="152"/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</row>
    <row r="39" spans="2:39" ht="28.5">
      <c r="B39" s="136" t="s">
        <v>64</v>
      </c>
      <c r="C39" s="157" t="s">
        <v>288</v>
      </c>
      <c r="D39" s="158"/>
      <c r="E39" s="158"/>
      <c r="F39" s="158"/>
      <c r="G39" s="158"/>
      <c r="H39" s="158"/>
      <c r="I39" s="158"/>
      <c r="J39" s="159"/>
      <c r="K39" s="125">
        <v>71.25</v>
      </c>
      <c r="L39" s="131" t="s">
        <v>43</v>
      </c>
      <c r="M39" s="128">
        <v>47.08</v>
      </c>
      <c r="N39" s="160" t="s">
        <v>209</v>
      </c>
      <c r="O39" s="161"/>
      <c r="P39" s="161"/>
      <c r="Q39" s="161"/>
      <c r="R39" s="161"/>
      <c r="S39" s="161"/>
      <c r="T39" s="161"/>
      <c r="U39" s="161"/>
      <c r="V39" s="16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</row>
    <row r="40" spans="2:39" ht="28.5">
      <c r="B40" s="135" t="s">
        <v>65</v>
      </c>
      <c r="C40" s="157" t="s">
        <v>299</v>
      </c>
      <c r="D40" s="158"/>
      <c r="E40" s="158"/>
      <c r="F40" s="158"/>
      <c r="G40" s="158"/>
      <c r="H40" s="158"/>
      <c r="I40" s="158"/>
      <c r="J40" s="159"/>
      <c r="K40" s="125">
        <v>66.55</v>
      </c>
      <c r="L40" s="131" t="s">
        <v>43</v>
      </c>
      <c r="M40" s="128">
        <v>42.01</v>
      </c>
      <c r="N40" s="160" t="s">
        <v>258</v>
      </c>
      <c r="O40" s="161"/>
      <c r="P40" s="161"/>
      <c r="Q40" s="161"/>
      <c r="R40" s="161"/>
      <c r="S40" s="161"/>
      <c r="T40" s="161"/>
      <c r="U40" s="161"/>
      <c r="V40" s="162"/>
      <c r="X40" s="152"/>
      <c r="Y40" s="152"/>
      <c r="Z40" s="152"/>
      <c r="AA40" s="152"/>
      <c r="AB40" s="152"/>
      <c r="AC40" s="152"/>
      <c r="AD40" s="152"/>
      <c r="AE40" s="152"/>
      <c r="AF40" s="152"/>
      <c r="AG40" s="152"/>
      <c r="AH40" s="152"/>
      <c r="AI40" s="152"/>
      <c r="AJ40" s="152"/>
      <c r="AK40" s="152"/>
      <c r="AL40" s="152"/>
      <c r="AM40" s="152"/>
    </row>
    <row r="41" spans="2:39" ht="28.5">
      <c r="B41" s="136" t="s">
        <v>66</v>
      </c>
      <c r="C41" s="157" t="s">
        <v>281</v>
      </c>
      <c r="D41" s="158"/>
      <c r="E41" s="158"/>
      <c r="F41" s="158"/>
      <c r="G41" s="158"/>
      <c r="H41" s="158"/>
      <c r="I41" s="158"/>
      <c r="J41" s="159"/>
      <c r="K41" s="125">
        <v>63.95</v>
      </c>
      <c r="L41" s="131" t="s">
        <v>43</v>
      </c>
      <c r="M41" s="128">
        <v>16.25</v>
      </c>
      <c r="N41" s="160" t="s">
        <v>212</v>
      </c>
      <c r="O41" s="161"/>
      <c r="P41" s="161"/>
      <c r="Q41" s="161"/>
      <c r="R41" s="161"/>
      <c r="S41" s="161"/>
      <c r="T41" s="161"/>
      <c r="U41" s="161"/>
      <c r="V41" s="16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2"/>
    </row>
    <row r="42" spans="2:39" ht="28.5">
      <c r="B42" s="135" t="s">
        <v>67</v>
      </c>
      <c r="C42" s="157" t="s">
        <v>312</v>
      </c>
      <c r="D42" s="158"/>
      <c r="E42" s="158"/>
      <c r="F42" s="158"/>
      <c r="G42" s="158"/>
      <c r="H42" s="158"/>
      <c r="I42" s="158"/>
      <c r="J42" s="159"/>
      <c r="K42" s="125">
        <v>56.15</v>
      </c>
      <c r="L42" s="131" t="s">
        <v>43</v>
      </c>
      <c r="M42" s="128">
        <v>28.47</v>
      </c>
      <c r="N42" s="160" t="s">
        <v>250</v>
      </c>
      <c r="O42" s="161"/>
      <c r="P42" s="161"/>
      <c r="Q42" s="161"/>
      <c r="R42" s="161"/>
      <c r="S42" s="161"/>
      <c r="T42" s="161"/>
      <c r="U42" s="161"/>
      <c r="V42" s="16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</row>
    <row r="43" spans="2:39" ht="28.5">
      <c r="B43" s="136" t="s">
        <v>69</v>
      </c>
      <c r="C43" s="157" t="s">
        <v>289</v>
      </c>
      <c r="D43" s="158"/>
      <c r="E43" s="158"/>
      <c r="F43" s="158"/>
      <c r="G43" s="158"/>
      <c r="H43" s="158"/>
      <c r="I43" s="158"/>
      <c r="J43" s="159"/>
      <c r="K43" s="125">
        <v>67.150000000000006</v>
      </c>
      <c r="L43" s="131" t="s">
        <v>43</v>
      </c>
      <c r="M43" s="128">
        <v>45.55</v>
      </c>
      <c r="N43" s="160" t="s">
        <v>216</v>
      </c>
      <c r="O43" s="161"/>
      <c r="P43" s="161"/>
      <c r="Q43" s="161"/>
      <c r="R43" s="161"/>
      <c r="S43" s="161"/>
      <c r="T43" s="161"/>
      <c r="U43" s="161"/>
      <c r="V43" s="16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</row>
    <row r="44" spans="2:39" ht="28.5">
      <c r="B44" s="135" t="s">
        <v>70</v>
      </c>
      <c r="C44" s="157" t="s">
        <v>298</v>
      </c>
      <c r="D44" s="158"/>
      <c r="E44" s="158"/>
      <c r="F44" s="158"/>
      <c r="G44" s="158"/>
      <c r="H44" s="158"/>
      <c r="I44" s="158"/>
      <c r="J44" s="159"/>
      <c r="K44" s="126">
        <v>37.96</v>
      </c>
      <c r="L44" s="131" t="s">
        <v>43</v>
      </c>
      <c r="M44" s="129">
        <v>50.65</v>
      </c>
      <c r="N44" s="160" t="s">
        <v>323</v>
      </c>
      <c r="O44" s="161"/>
      <c r="P44" s="161"/>
      <c r="Q44" s="161"/>
      <c r="R44" s="161"/>
      <c r="S44" s="161"/>
      <c r="T44" s="161"/>
      <c r="U44" s="161"/>
      <c r="V44" s="162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</row>
    <row r="45" spans="2:39" ht="28.5">
      <c r="B45" s="136" t="s">
        <v>71</v>
      </c>
      <c r="C45" s="157" t="s">
        <v>282</v>
      </c>
      <c r="D45" s="158"/>
      <c r="E45" s="158"/>
      <c r="F45" s="158"/>
      <c r="G45" s="158"/>
      <c r="H45" s="158"/>
      <c r="I45" s="158"/>
      <c r="J45" s="159"/>
      <c r="K45" s="125">
        <v>62.95</v>
      </c>
      <c r="L45" s="131" t="s">
        <v>43</v>
      </c>
      <c r="M45" s="128">
        <v>15.71</v>
      </c>
      <c r="N45" s="160" t="s">
        <v>220</v>
      </c>
      <c r="O45" s="161"/>
      <c r="P45" s="161"/>
      <c r="Q45" s="161"/>
      <c r="R45" s="161"/>
      <c r="S45" s="161"/>
      <c r="T45" s="161"/>
      <c r="U45" s="161"/>
      <c r="V45" s="162"/>
      <c r="X45" s="152"/>
      <c r="Y45" s="152"/>
      <c r="Z45" s="152"/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</row>
    <row r="46" spans="2:39" ht="28.5">
      <c r="B46" s="135" t="s">
        <v>72</v>
      </c>
      <c r="C46" s="157" t="s">
        <v>311</v>
      </c>
      <c r="D46" s="158"/>
      <c r="E46" s="158"/>
      <c r="F46" s="158"/>
      <c r="G46" s="158"/>
      <c r="H46" s="158"/>
      <c r="I46" s="158"/>
      <c r="J46" s="159"/>
      <c r="K46" s="126">
        <v>46.25</v>
      </c>
      <c r="L46" s="131" t="s">
        <v>43</v>
      </c>
      <c r="M46" s="129">
        <v>58.66</v>
      </c>
      <c r="N46" s="160" t="s">
        <v>251</v>
      </c>
      <c r="O46" s="161"/>
      <c r="P46" s="161"/>
      <c r="Q46" s="161"/>
      <c r="R46" s="161"/>
      <c r="S46" s="161"/>
      <c r="T46" s="161"/>
      <c r="U46" s="161"/>
      <c r="V46" s="16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</row>
    <row r="47" spans="2:39" ht="28.5">
      <c r="B47" s="136" t="s">
        <v>74</v>
      </c>
      <c r="C47" s="157" t="s">
        <v>290</v>
      </c>
      <c r="D47" s="158"/>
      <c r="E47" s="158"/>
      <c r="F47" s="158"/>
      <c r="G47" s="158"/>
      <c r="H47" s="158"/>
      <c r="I47" s="158"/>
      <c r="J47" s="159"/>
      <c r="K47" s="125">
        <v>56.41</v>
      </c>
      <c r="L47" s="131" t="s">
        <v>43</v>
      </c>
      <c r="M47" s="128">
        <v>55.15</v>
      </c>
      <c r="N47" s="160" t="s">
        <v>224</v>
      </c>
      <c r="O47" s="161"/>
      <c r="P47" s="161"/>
      <c r="Q47" s="161"/>
      <c r="R47" s="161"/>
      <c r="S47" s="161"/>
      <c r="T47" s="161"/>
      <c r="U47" s="161"/>
      <c r="V47" s="162"/>
      <c r="X47" s="152"/>
      <c r="Y47" s="152"/>
      <c r="Z47" s="152"/>
      <c r="AA47" s="152"/>
      <c r="AB47" s="152"/>
      <c r="AC47" s="152"/>
      <c r="AD47" s="152"/>
      <c r="AE47" s="152"/>
      <c r="AF47" s="152"/>
      <c r="AG47" s="152"/>
      <c r="AH47" s="152"/>
      <c r="AI47" s="152"/>
      <c r="AJ47" s="152"/>
      <c r="AK47" s="152"/>
      <c r="AL47" s="152"/>
      <c r="AM47" s="152"/>
    </row>
    <row r="48" spans="2:39" ht="28.5">
      <c r="B48" s="135" t="s">
        <v>75</v>
      </c>
      <c r="C48" s="157" t="s">
        <v>297</v>
      </c>
      <c r="D48" s="158"/>
      <c r="E48" s="158"/>
      <c r="F48" s="158"/>
      <c r="G48" s="158"/>
      <c r="H48" s="158"/>
      <c r="I48" s="158"/>
      <c r="J48" s="159"/>
      <c r="K48" s="125">
        <v>60.26</v>
      </c>
      <c r="L48" s="131" t="s">
        <v>43</v>
      </c>
      <c r="M48" s="128">
        <v>13.2</v>
      </c>
      <c r="N48" s="160" t="s">
        <v>259</v>
      </c>
      <c r="O48" s="161"/>
      <c r="P48" s="161"/>
      <c r="Q48" s="161"/>
      <c r="R48" s="161"/>
      <c r="S48" s="161"/>
      <c r="T48" s="161"/>
      <c r="U48" s="161"/>
      <c r="V48" s="162"/>
      <c r="X48" s="152"/>
      <c r="Y48" s="152"/>
      <c r="Z48" s="152"/>
      <c r="AA48" s="152"/>
      <c r="AB48" s="152"/>
      <c r="AC48" s="152"/>
      <c r="AD48" s="152"/>
      <c r="AE48" s="152"/>
      <c r="AF48" s="152"/>
      <c r="AG48" s="152"/>
      <c r="AH48" s="152"/>
      <c r="AI48" s="152"/>
      <c r="AJ48" s="152"/>
      <c r="AK48" s="152"/>
      <c r="AL48" s="152"/>
      <c r="AM48" s="152"/>
    </row>
    <row r="49" spans="2:39" ht="28.5">
      <c r="B49" s="136" t="s">
        <v>77</v>
      </c>
      <c r="C49" s="157" t="s">
        <v>283</v>
      </c>
      <c r="D49" s="158"/>
      <c r="E49" s="158"/>
      <c r="F49" s="158"/>
      <c r="G49" s="158"/>
      <c r="H49" s="158"/>
      <c r="I49" s="158"/>
      <c r="J49" s="159"/>
      <c r="K49" s="126">
        <v>43.85</v>
      </c>
      <c r="L49" s="131" t="s">
        <v>43</v>
      </c>
      <c r="M49" s="129">
        <v>50.04</v>
      </c>
      <c r="N49" s="160" t="s">
        <v>237</v>
      </c>
      <c r="O49" s="161"/>
      <c r="P49" s="161"/>
      <c r="Q49" s="161"/>
      <c r="R49" s="161"/>
      <c r="S49" s="161"/>
      <c r="T49" s="161"/>
      <c r="U49" s="161"/>
      <c r="V49" s="16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</row>
    <row r="50" spans="2:39" ht="28.5">
      <c r="B50" s="135" t="s">
        <v>78</v>
      </c>
      <c r="C50" s="157" t="s">
        <v>310</v>
      </c>
      <c r="D50" s="158"/>
      <c r="E50" s="158"/>
      <c r="F50" s="158"/>
      <c r="G50" s="158"/>
      <c r="H50" s="158"/>
      <c r="I50" s="158"/>
      <c r="J50" s="159"/>
      <c r="K50" s="125">
        <v>67.45</v>
      </c>
      <c r="L50" s="131" t="s">
        <v>43</v>
      </c>
      <c r="M50" s="128">
        <v>37.799999999999997</v>
      </c>
      <c r="N50" s="160" t="s">
        <v>252</v>
      </c>
      <c r="O50" s="161"/>
      <c r="P50" s="161"/>
      <c r="Q50" s="161"/>
      <c r="R50" s="161"/>
      <c r="S50" s="161"/>
      <c r="T50" s="161"/>
      <c r="U50" s="161"/>
      <c r="V50" s="162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</row>
    <row r="51" spans="2:39" ht="28.5">
      <c r="B51" s="136" t="s">
        <v>80</v>
      </c>
      <c r="C51" s="157" t="s">
        <v>291</v>
      </c>
      <c r="D51" s="158"/>
      <c r="E51" s="158"/>
      <c r="F51" s="158"/>
      <c r="G51" s="158"/>
      <c r="H51" s="158"/>
      <c r="I51" s="158"/>
      <c r="J51" s="159"/>
      <c r="K51" s="126">
        <v>59.53</v>
      </c>
      <c r="L51" s="131" t="s">
        <v>43</v>
      </c>
      <c r="M51" s="129">
        <v>60.75</v>
      </c>
      <c r="N51" s="160" t="s">
        <v>202</v>
      </c>
      <c r="O51" s="161"/>
      <c r="P51" s="161"/>
      <c r="Q51" s="161"/>
      <c r="R51" s="161"/>
      <c r="S51" s="161"/>
      <c r="T51" s="161"/>
      <c r="U51" s="161"/>
      <c r="V51" s="16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</row>
    <row r="52" spans="2:39" ht="28.5">
      <c r="B52" s="135" t="s">
        <v>81</v>
      </c>
      <c r="C52" s="157" t="s">
        <v>296</v>
      </c>
      <c r="D52" s="158"/>
      <c r="E52" s="158"/>
      <c r="F52" s="158"/>
      <c r="G52" s="158"/>
      <c r="H52" s="158"/>
      <c r="I52" s="158"/>
      <c r="J52" s="159"/>
      <c r="K52" s="125">
        <v>69.650000000000006</v>
      </c>
      <c r="L52" s="131" t="s">
        <v>43</v>
      </c>
      <c r="M52" s="128">
        <v>30.75</v>
      </c>
      <c r="N52" s="160" t="s">
        <v>260</v>
      </c>
      <c r="O52" s="161"/>
      <c r="P52" s="161"/>
      <c r="Q52" s="161"/>
      <c r="R52" s="161"/>
      <c r="S52" s="161"/>
      <c r="T52" s="161"/>
      <c r="U52" s="161"/>
      <c r="V52" s="16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</row>
    <row r="53" spans="2:39" ht="28.5">
      <c r="B53" s="136" t="s">
        <v>83</v>
      </c>
      <c r="C53" s="157" t="s">
        <v>322</v>
      </c>
      <c r="D53" s="158"/>
      <c r="E53" s="158"/>
      <c r="F53" s="158"/>
      <c r="G53" s="158"/>
      <c r="H53" s="158"/>
      <c r="I53" s="158"/>
      <c r="J53" s="159"/>
      <c r="K53" s="125">
        <v>59.15</v>
      </c>
      <c r="L53" s="131" t="s">
        <v>43</v>
      </c>
      <c r="M53" s="128">
        <v>34.909999999999997</v>
      </c>
      <c r="N53" s="160" t="s">
        <v>206</v>
      </c>
      <c r="O53" s="161"/>
      <c r="P53" s="161"/>
      <c r="Q53" s="161"/>
      <c r="R53" s="161"/>
      <c r="S53" s="161"/>
      <c r="T53" s="161"/>
      <c r="U53" s="161"/>
      <c r="V53" s="16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</row>
    <row r="54" spans="2:39" ht="28.5">
      <c r="B54" s="135" t="s">
        <v>85</v>
      </c>
      <c r="C54" s="157" t="s">
        <v>309</v>
      </c>
      <c r="D54" s="158"/>
      <c r="E54" s="158"/>
      <c r="F54" s="158"/>
      <c r="G54" s="158"/>
      <c r="H54" s="158"/>
      <c r="I54" s="158"/>
      <c r="J54" s="159"/>
      <c r="K54" s="125">
        <v>61.65</v>
      </c>
      <c r="L54" s="131" t="s">
        <v>43</v>
      </c>
      <c r="M54" s="128">
        <v>56.35</v>
      </c>
      <c r="N54" s="160" t="s">
        <v>253</v>
      </c>
      <c r="O54" s="161"/>
      <c r="P54" s="161"/>
      <c r="Q54" s="161"/>
      <c r="R54" s="161"/>
      <c r="S54" s="161"/>
      <c r="T54" s="161"/>
      <c r="U54" s="161"/>
      <c r="V54" s="16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</row>
    <row r="55" spans="2:39" ht="28.5">
      <c r="B55" s="136" t="s">
        <v>87</v>
      </c>
      <c r="C55" s="157" t="s">
        <v>292</v>
      </c>
      <c r="D55" s="158"/>
      <c r="E55" s="158"/>
      <c r="F55" s="158"/>
      <c r="G55" s="158"/>
      <c r="H55" s="158"/>
      <c r="I55" s="158"/>
      <c r="J55" s="159"/>
      <c r="K55" s="125">
        <v>68.849999999999994</v>
      </c>
      <c r="L55" s="131" t="s">
        <v>43</v>
      </c>
      <c r="M55" s="128">
        <v>60.45</v>
      </c>
      <c r="N55" s="160" t="s">
        <v>324</v>
      </c>
      <c r="O55" s="161"/>
      <c r="P55" s="161"/>
      <c r="Q55" s="161"/>
      <c r="R55" s="161"/>
      <c r="S55" s="161"/>
      <c r="T55" s="161"/>
      <c r="U55" s="161"/>
      <c r="V55" s="162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</row>
    <row r="56" spans="2:39" ht="28.5">
      <c r="B56" s="135" t="s">
        <v>88</v>
      </c>
      <c r="C56" s="157" t="s">
        <v>295</v>
      </c>
      <c r="D56" s="158"/>
      <c r="E56" s="158"/>
      <c r="F56" s="158"/>
      <c r="G56" s="158"/>
      <c r="H56" s="158"/>
      <c r="I56" s="158"/>
      <c r="J56" s="159"/>
      <c r="K56" s="126">
        <v>80.95</v>
      </c>
      <c r="L56" s="131" t="s">
        <v>43</v>
      </c>
      <c r="M56" s="129">
        <v>89.55</v>
      </c>
      <c r="N56" s="160" t="s">
        <v>261</v>
      </c>
      <c r="O56" s="161"/>
      <c r="P56" s="161"/>
      <c r="Q56" s="161"/>
      <c r="R56" s="161"/>
      <c r="S56" s="161"/>
      <c r="T56" s="161"/>
      <c r="U56" s="161"/>
      <c r="V56" s="16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</row>
    <row r="57" spans="2:39" ht="28.5">
      <c r="B57" s="136" t="s">
        <v>89</v>
      </c>
      <c r="C57" s="157" t="s">
        <v>284</v>
      </c>
      <c r="D57" s="158"/>
      <c r="E57" s="158"/>
      <c r="F57" s="158"/>
      <c r="G57" s="158"/>
      <c r="H57" s="158"/>
      <c r="I57" s="158"/>
      <c r="J57" s="159"/>
      <c r="K57" s="125">
        <v>69.010000000000005</v>
      </c>
      <c r="L57" s="131" t="s">
        <v>43</v>
      </c>
      <c r="M57" s="128">
        <v>13.9</v>
      </c>
      <c r="N57" s="160" t="s">
        <v>213</v>
      </c>
      <c r="O57" s="161"/>
      <c r="P57" s="161"/>
      <c r="Q57" s="161"/>
      <c r="R57" s="161"/>
      <c r="S57" s="161"/>
      <c r="T57" s="161"/>
      <c r="U57" s="161"/>
      <c r="V57" s="16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</row>
    <row r="58" spans="2:39" ht="28.5">
      <c r="B58" s="135" t="s">
        <v>90</v>
      </c>
      <c r="C58" s="157" t="s">
        <v>308</v>
      </c>
      <c r="D58" s="158"/>
      <c r="E58" s="158"/>
      <c r="F58" s="158"/>
      <c r="G58" s="158"/>
      <c r="H58" s="158"/>
      <c r="I58" s="158"/>
      <c r="J58" s="159"/>
      <c r="K58" s="125">
        <v>57.85</v>
      </c>
      <c r="L58" s="131" t="s">
        <v>43</v>
      </c>
      <c r="M58" s="128">
        <v>51.25</v>
      </c>
      <c r="N58" s="160" t="s">
        <v>254</v>
      </c>
      <c r="O58" s="161"/>
      <c r="P58" s="161"/>
      <c r="Q58" s="161"/>
      <c r="R58" s="161"/>
      <c r="S58" s="161"/>
      <c r="T58" s="161"/>
      <c r="U58" s="161"/>
      <c r="V58" s="16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</row>
    <row r="59" spans="2:39" ht="28.5">
      <c r="B59" s="136" t="s">
        <v>91</v>
      </c>
      <c r="C59" s="157" t="s">
        <v>293</v>
      </c>
      <c r="D59" s="158"/>
      <c r="E59" s="158"/>
      <c r="F59" s="158"/>
      <c r="G59" s="158"/>
      <c r="H59" s="158"/>
      <c r="I59" s="158"/>
      <c r="J59" s="159"/>
      <c r="K59" s="126">
        <v>67.95</v>
      </c>
      <c r="L59" s="131" t="s">
        <v>43</v>
      </c>
      <c r="M59" s="129">
        <v>72.349999999999994</v>
      </c>
      <c r="N59" s="160" t="s">
        <v>217</v>
      </c>
      <c r="O59" s="161"/>
      <c r="P59" s="161"/>
      <c r="Q59" s="161"/>
      <c r="R59" s="161"/>
      <c r="S59" s="161"/>
      <c r="T59" s="161"/>
      <c r="U59" s="161"/>
      <c r="V59" s="16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</row>
    <row r="60" spans="2:39" ht="28.5">
      <c r="B60" s="135" t="s">
        <v>92</v>
      </c>
      <c r="C60" s="157" t="s">
        <v>317</v>
      </c>
      <c r="D60" s="158"/>
      <c r="E60" s="158"/>
      <c r="F60" s="158"/>
      <c r="G60" s="158"/>
      <c r="H60" s="158"/>
      <c r="I60" s="158"/>
      <c r="J60" s="159"/>
      <c r="K60" s="126">
        <v>63.46</v>
      </c>
      <c r="L60" s="131" t="s">
        <v>43</v>
      </c>
      <c r="M60" s="129">
        <v>67.05</v>
      </c>
      <c r="N60" s="160" t="s">
        <v>320</v>
      </c>
      <c r="O60" s="161"/>
      <c r="P60" s="161"/>
      <c r="Q60" s="161"/>
      <c r="R60" s="161"/>
      <c r="S60" s="161"/>
      <c r="T60" s="161"/>
      <c r="U60" s="161"/>
      <c r="V60" s="16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</row>
    <row r="61" spans="2:39" ht="28.5">
      <c r="B61" s="136" t="s">
        <v>93</v>
      </c>
      <c r="C61" s="157" t="s">
        <v>234</v>
      </c>
      <c r="D61" s="158"/>
      <c r="E61" s="158"/>
      <c r="F61" s="158"/>
      <c r="G61" s="158"/>
      <c r="H61" s="158"/>
      <c r="I61" s="158"/>
      <c r="J61" s="159"/>
      <c r="K61" s="125">
        <v>55.45</v>
      </c>
      <c r="L61" s="131" t="s">
        <v>43</v>
      </c>
      <c r="M61" s="128">
        <v>54.89</v>
      </c>
      <c r="N61" s="160" t="s">
        <v>221</v>
      </c>
      <c r="O61" s="161"/>
      <c r="P61" s="161"/>
      <c r="Q61" s="161"/>
      <c r="R61" s="161"/>
      <c r="S61" s="161"/>
      <c r="T61" s="161"/>
      <c r="U61" s="161"/>
      <c r="V61" s="162"/>
      <c r="X61" s="152"/>
      <c r="Y61" s="152"/>
      <c r="Z61" s="152"/>
      <c r="AA61" s="152"/>
      <c r="AB61" s="152"/>
      <c r="AC61" s="152"/>
      <c r="AD61" s="152"/>
      <c r="AE61" s="152"/>
      <c r="AF61" s="152"/>
      <c r="AG61" s="152"/>
      <c r="AH61" s="152"/>
      <c r="AI61" s="152"/>
      <c r="AJ61" s="152"/>
      <c r="AK61" s="152"/>
      <c r="AL61" s="152"/>
      <c r="AM61" s="152"/>
    </row>
    <row r="62" spans="2:39" ht="28.5">
      <c r="B62" s="135" t="s">
        <v>94</v>
      </c>
      <c r="C62" s="157" t="s">
        <v>239</v>
      </c>
      <c r="D62" s="158"/>
      <c r="E62" s="158"/>
      <c r="F62" s="158"/>
      <c r="G62" s="158"/>
      <c r="H62" s="158"/>
      <c r="I62" s="158"/>
      <c r="J62" s="159"/>
      <c r="K62" s="126">
        <v>58.65</v>
      </c>
      <c r="L62" s="131" t="s">
        <v>43</v>
      </c>
      <c r="M62" s="129">
        <v>64.849999999999994</v>
      </c>
      <c r="N62" s="160" t="s">
        <v>307</v>
      </c>
      <c r="O62" s="161"/>
      <c r="P62" s="161"/>
      <c r="Q62" s="161"/>
      <c r="R62" s="161"/>
      <c r="S62" s="161"/>
      <c r="T62" s="161"/>
      <c r="U62" s="161"/>
      <c r="V62" s="162"/>
      <c r="X62" s="152"/>
      <c r="Y62" s="152"/>
      <c r="Z62" s="152"/>
      <c r="AA62" s="152"/>
      <c r="AB62" s="152"/>
      <c r="AC62" s="152"/>
      <c r="AD62" s="152"/>
      <c r="AE62" s="152"/>
      <c r="AF62" s="152"/>
      <c r="AG62" s="152"/>
      <c r="AH62" s="152"/>
      <c r="AI62" s="152"/>
      <c r="AJ62" s="152"/>
      <c r="AK62" s="152"/>
      <c r="AL62" s="152"/>
      <c r="AM62" s="152"/>
    </row>
    <row r="63" spans="2:39" ht="28.5">
      <c r="B63" s="136" t="s">
        <v>95</v>
      </c>
      <c r="C63" s="157" t="s">
        <v>294</v>
      </c>
      <c r="D63" s="158"/>
      <c r="E63" s="158"/>
      <c r="F63" s="158"/>
      <c r="G63" s="158"/>
      <c r="H63" s="158"/>
      <c r="I63" s="158"/>
      <c r="J63" s="159"/>
      <c r="K63" s="126">
        <v>27.03</v>
      </c>
      <c r="L63" s="131" t="s">
        <v>43</v>
      </c>
      <c r="M63" s="129">
        <v>46.75</v>
      </c>
      <c r="N63" s="160" t="s">
        <v>225</v>
      </c>
      <c r="O63" s="161"/>
      <c r="P63" s="161"/>
      <c r="Q63" s="161"/>
      <c r="R63" s="161"/>
      <c r="S63" s="161"/>
      <c r="T63" s="161"/>
      <c r="U63" s="161"/>
      <c r="V63" s="162"/>
      <c r="X63" s="152"/>
      <c r="Y63" s="152"/>
      <c r="Z63" s="152"/>
      <c r="AA63" s="152"/>
      <c r="AB63" s="152"/>
      <c r="AC63" s="152"/>
      <c r="AD63" s="152"/>
      <c r="AE63" s="152"/>
      <c r="AF63" s="152"/>
      <c r="AG63" s="152"/>
      <c r="AH63" s="152"/>
      <c r="AI63" s="152"/>
      <c r="AJ63" s="152"/>
      <c r="AK63" s="152"/>
      <c r="AL63" s="152"/>
      <c r="AM63" s="152"/>
    </row>
    <row r="64" spans="2:39" ht="28.5">
      <c r="B64" s="135" t="s">
        <v>96</v>
      </c>
      <c r="C64" s="157" t="s">
        <v>303</v>
      </c>
      <c r="D64" s="158"/>
      <c r="E64" s="158"/>
      <c r="F64" s="158"/>
      <c r="G64" s="158"/>
      <c r="H64" s="158"/>
      <c r="I64" s="158"/>
      <c r="J64" s="159"/>
      <c r="K64" s="126">
        <v>74.650000000000006</v>
      </c>
      <c r="L64" s="131" t="s">
        <v>43</v>
      </c>
      <c r="M64" s="129">
        <v>79.150000000000006</v>
      </c>
      <c r="N64" s="160" t="s">
        <v>321</v>
      </c>
      <c r="O64" s="161"/>
      <c r="P64" s="161"/>
      <c r="Q64" s="161"/>
      <c r="R64" s="161"/>
      <c r="S64" s="161"/>
      <c r="T64" s="161"/>
      <c r="U64" s="161"/>
      <c r="V64" s="162"/>
      <c r="X64" s="152"/>
      <c r="Y64" s="152"/>
      <c r="Z64" s="152"/>
      <c r="AA64" s="152"/>
      <c r="AB64" s="152"/>
      <c r="AC64" s="152"/>
      <c r="AD64" s="152"/>
      <c r="AE64" s="152"/>
      <c r="AF64" s="152"/>
      <c r="AG64" s="152"/>
      <c r="AH64" s="152"/>
      <c r="AI64" s="152"/>
      <c r="AJ64" s="152"/>
      <c r="AK64" s="152"/>
      <c r="AL64" s="152"/>
      <c r="AM64" s="152"/>
    </row>
    <row r="65" spans="2:39" ht="28.5">
      <c r="B65" s="136" t="s">
        <v>97</v>
      </c>
      <c r="C65" s="157" t="s">
        <v>235</v>
      </c>
      <c r="D65" s="158"/>
      <c r="E65" s="158"/>
      <c r="F65" s="158"/>
      <c r="G65" s="158"/>
      <c r="H65" s="158"/>
      <c r="I65" s="158"/>
      <c r="J65" s="159"/>
      <c r="K65" s="125">
        <v>48.05</v>
      </c>
      <c r="L65" s="131" t="s">
        <v>43</v>
      </c>
      <c r="M65" s="128">
        <v>33.18</v>
      </c>
      <c r="N65" s="160" t="s">
        <v>238</v>
      </c>
      <c r="O65" s="161"/>
      <c r="P65" s="161"/>
      <c r="Q65" s="161"/>
      <c r="R65" s="161"/>
      <c r="S65" s="161"/>
      <c r="T65" s="161"/>
      <c r="U65" s="161"/>
      <c r="V65" s="162"/>
      <c r="X65" s="152"/>
      <c r="Y65" s="152"/>
      <c r="Z65" s="152"/>
      <c r="AA65" s="152"/>
      <c r="AB65" s="152"/>
      <c r="AC65" s="152"/>
      <c r="AD65" s="152"/>
      <c r="AE65" s="152"/>
      <c r="AF65" s="152"/>
      <c r="AG65" s="152"/>
      <c r="AH65" s="152"/>
      <c r="AI65" s="152"/>
      <c r="AJ65" s="152"/>
      <c r="AK65" s="152"/>
      <c r="AL65" s="152"/>
      <c r="AM65" s="152"/>
    </row>
    <row r="66" spans="2:39" ht="28.5">
      <c r="B66" s="135" t="s">
        <v>98</v>
      </c>
      <c r="C66" s="157" t="s">
        <v>240</v>
      </c>
      <c r="D66" s="158"/>
      <c r="E66" s="158"/>
      <c r="F66" s="158"/>
      <c r="G66" s="158"/>
      <c r="H66" s="158"/>
      <c r="I66" s="158"/>
      <c r="J66" s="159"/>
      <c r="K66" s="125">
        <v>34.25</v>
      </c>
      <c r="L66" s="131" t="s">
        <v>43</v>
      </c>
      <c r="M66" s="128">
        <v>29.46</v>
      </c>
      <c r="N66" s="160" t="s">
        <v>306</v>
      </c>
      <c r="O66" s="161"/>
      <c r="P66" s="161"/>
      <c r="Q66" s="161"/>
      <c r="R66" s="161"/>
      <c r="S66" s="161"/>
      <c r="T66" s="161"/>
      <c r="U66" s="161"/>
      <c r="V66" s="162"/>
      <c r="X66" s="152"/>
      <c r="Y66" s="152"/>
      <c r="Z66" s="152"/>
      <c r="AA66" s="152"/>
      <c r="AB66" s="152"/>
      <c r="AC66" s="152"/>
      <c r="AD66" s="152"/>
      <c r="AE66" s="152"/>
      <c r="AF66" s="152"/>
      <c r="AG66" s="152"/>
      <c r="AH66" s="152"/>
      <c r="AI66" s="152"/>
      <c r="AJ66" s="152"/>
      <c r="AK66" s="152"/>
      <c r="AL66" s="152"/>
      <c r="AM66" s="152"/>
    </row>
    <row r="67" spans="2:39" ht="28.5">
      <c r="B67" s="136" t="s">
        <v>99</v>
      </c>
      <c r="C67" s="157" t="s">
        <v>245</v>
      </c>
      <c r="D67" s="158"/>
      <c r="E67" s="158"/>
      <c r="F67" s="158"/>
      <c r="G67" s="158"/>
      <c r="H67" s="158"/>
      <c r="I67" s="158"/>
      <c r="J67" s="159"/>
      <c r="K67" s="125">
        <v>60.55</v>
      </c>
      <c r="L67" s="131" t="s">
        <v>43</v>
      </c>
      <c r="M67" s="128">
        <v>39.71</v>
      </c>
      <c r="N67" s="160" t="s">
        <v>203</v>
      </c>
      <c r="O67" s="161"/>
      <c r="P67" s="161"/>
      <c r="Q67" s="161"/>
      <c r="R67" s="161"/>
      <c r="S67" s="161"/>
      <c r="T67" s="161"/>
      <c r="U67" s="161"/>
      <c r="V67" s="162"/>
      <c r="X67" s="152"/>
      <c r="Y67" s="152"/>
      <c r="Z67" s="152"/>
      <c r="AA67" s="152"/>
      <c r="AB67" s="152"/>
      <c r="AC67" s="152"/>
      <c r="AD67" s="152"/>
      <c r="AE67" s="152"/>
      <c r="AF67" s="152"/>
      <c r="AG67" s="152"/>
      <c r="AH67" s="152"/>
      <c r="AI67" s="152"/>
      <c r="AJ67" s="152"/>
      <c r="AK67" s="152"/>
      <c r="AL67" s="152"/>
      <c r="AM67" s="152"/>
    </row>
    <row r="68" spans="2:39" ht="28.5">
      <c r="B68" s="135" t="s">
        <v>100</v>
      </c>
      <c r="C68" s="157" t="s">
        <v>228</v>
      </c>
      <c r="D68" s="158"/>
      <c r="E68" s="158"/>
      <c r="F68" s="158"/>
      <c r="G68" s="158"/>
      <c r="H68" s="158"/>
      <c r="I68" s="158"/>
      <c r="J68" s="159"/>
      <c r="K68" s="125">
        <v>67.05</v>
      </c>
      <c r="L68" s="131" t="s">
        <v>43</v>
      </c>
      <c r="M68" s="128">
        <v>63.76</v>
      </c>
      <c r="N68" s="160" t="s">
        <v>319</v>
      </c>
      <c r="O68" s="161"/>
      <c r="P68" s="161"/>
      <c r="Q68" s="161"/>
      <c r="R68" s="161"/>
      <c r="S68" s="161"/>
      <c r="T68" s="161"/>
      <c r="U68" s="161"/>
      <c r="V68" s="162"/>
      <c r="X68" s="152"/>
      <c r="Y68" s="152"/>
      <c r="Z68" s="152"/>
      <c r="AA68" s="152"/>
      <c r="AB68" s="152"/>
      <c r="AC68" s="152"/>
      <c r="AD68" s="152"/>
      <c r="AE68" s="152"/>
      <c r="AF68" s="152"/>
      <c r="AG68" s="152"/>
      <c r="AH68" s="152"/>
      <c r="AI68" s="152"/>
      <c r="AJ68" s="152"/>
      <c r="AK68" s="152"/>
      <c r="AL68" s="152"/>
      <c r="AM68" s="152"/>
    </row>
    <row r="69" spans="2:39" ht="28.5">
      <c r="B69" s="136" t="s">
        <v>101</v>
      </c>
      <c r="C69" s="157" t="s">
        <v>233</v>
      </c>
      <c r="D69" s="158"/>
      <c r="E69" s="158"/>
      <c r="F69" s="158"/>
      <c r="G69" s="158"/>
      <c r="H69" s="158"/>
      <c r="I69" s="158"/>
      <c r="J69" s="159"/>
      <c r="K69" s="126">
        <v>48.56</v>
      </c>
      <c r="L69" s="131" t="s">
        <v>43</v>
      </c>
      <c r="M69" s="129">
        <v>88.85</v>
      </c>
      <c r="N69" s="160" t="s">
        <v>207</v>
      </c>
      <c r="O69" s="161"/>
      <c r="P69" s="161"/>
      <c r="Q69" s="161"/>
      <c r="R69" s="161"/>
      <c r="S69" s="161"/>
      <c r="T69" s="161"/>
      <c r="U69" s="161"/>
      <c r="V69" s="162"/>
      <c r="X69" s="152"/>
      <c r="Y69" s="152"/>
      <c r="Z69" s="152"/>
      <c r="AA69" s="152"/>
      <c r="AB69" s="152"/>
      <c r="AC69" s="152"/>
      <c r="AD69" s="152"/>
      <c r="AE69" s="152"/>
      <c r="AF69" s="152"/>
      <c r="AG69" s="152"/>
      <c r="AH69" s="152"/>
      <c r="AI69" s="152"/>
      <c r="AJ69" s="152"/>
      <c r="AK69" s="152"/>
      <c r="AL69" s="152"/>
      <c r="AM69" s="152"/>
    </row>
    <row r="70" spans="2:39" ht="28.5">
      <c r="B70" s="135" t="s">
        <v>102</v>
      </c>
      <c r="C70" s="157" t="s">
        <v>241</v>
      </c>
      <c r="D70" s="158"/>
      <c r="E70" s="158"/>
      <c r="F70" s="158"/>
      <c r="G70" s="158"/>
      <c r="H70" s="158"/>
      <c r="I70" s="158"/>
      <c r="J70" s="159"/>
      <c r="K70" s="125">
        <v>62.75</v>
      </c>
      <c r="L70" s="131" t="s">
        <v>43</v>
      </c>
      <c r="M70" s="128">
        <v>37.869999999999997</v>
      </c>
      <c r="N70" s="160" t="s">
        <v>305</v>
      </c>
      <c r="O70" s="161"/>
      <c r="P70" s="161"/>
      <c r="Q70" s="161"/>
      <c r="R70" s="161"/>
      <c r="S70" s="161"/>
      <c r="T70" s="161"/>
      <c r="U70" s="161"/>
      <c r="V70" s="162"/>
      <c r="X70" s="152"/>
      <c r="Y70" s="152"/>
      <c r="Z70" s="152"/>
      <c r="AA70" s="152"/>
      <c r="AB70" s="152"/>
      <c r="AC70" s="152"/>
      <c r="AD70" s="152"/>
      <c r="AE70" s="152"/>
      <c r="AF70" s="152"/>
      <c r="AG70" s="152"/>
      <c r="AH70" s="152"/>
      <c r="AI70" s="152"/>
      <c r="AJ70" s="152"/>
      <c r="AK70" s="152"/>
      <c r="AL70" s="152"/>
      <c r="AM70" s="152"/>
    </row>
    <row r="71" spans="2:39" ht="28.5">
      <c r="B71" s="136" t="s">
        <v>103</v>
      </c>
      <c r="C71" s="157" t="s">
        <v>246</v>
      </c>
      <c r="D71" s="158"/>
      <c r="E71" s="158"/>
      <c r="F71" s="158"/>
      <c r="G71" s="158"/>
      <c r="H71" s="158"/>
      <c r="I71" s="158"/>
      <c r="J71" s="159"/>
      <c r="K71" s="126">
        <v>38</v>
      </c>
      <c r="L71" s="131" t="s">
        <v>43</v>
      </c>
      <c r="M71" s="129">
        <v>88.25</v>
      </c>
      <c r="N71" s="160" t="s">
        <v>210</v>
      </c>
      <c r="O71" s="161"/>
      <c r="P71" s="161"/>
      <c r="Q71" s="161"/>
      <c r="R71" s="161"/>
      <c r="S71" s="161"/>
      <c r="T71" s="161"/>
      <c r="U71" s="161"/>
      <c r="V71" s="162"/>
      <c r="X71" s="152"/>
      <c r="Y71" s="152"/>
      <c r="Z71" s="152"/>
      <c r="AA71" s="152"/>
      <c r="AB71" s="152"/>
      <c r="AC71" s="152"/>
      <c r="AD71" s="152"/>
      <c r="AE71" s="152"/>
      <c r="AF71" s="152"/>
      <c r="AG71" s="152"/>
      <c r="AH71" s="152"/>
      <c r="AI71" s="152"/>
      <c r="AJ71" s="152"/>
      <c r="AK71" s="152"/>
      <c r="AL71" s="152"/>
      <c r="AM71" s="152"/>
    </row>
    <row r="72" spans="2:39" ht="28.5">
      <c r="B72" s="135" t="s">
        <v>104</v>
      </c>
      <c r="C72" s="157" t="s">
        <v>229</v>
      </c>
      <c r="D72" s="158"/>
      <c r="E72" s="158"/>
      <c r="F72" s="158"/>
      <c r="G72" s="158"/>
      <c r="H72" s="158"/>
      <c r="I72" s="158"/>
      <c r="J72" s="159"/>
      <c r="K72" s="125">
        <v>56.21</v>
      </c>
      <c r="L72" s="131" t="s">
        <v>43</v>
      </c>
      <c r="M72" s="128">
        <v>41.21</v>
      </c>
      <c r="N72" s="160" t="s">
        <v>318</v>
      </c>
      <c r="O72" s="161"/>
      <c r="P72" s="161"/>
      <c r="Q72" s="161"/>
      <c r="R72" s="161"/>
      <c r="S72" s="161"/>
      <c r="T72" s="161"/>
      <c r="U72" s="161"/>
      <c r="V72" s="162"/>
      <c r="X72" s="152"/>
      <c r="Y72" s="152"/>
      <c r="Z72" s="152"/>
      <c r="AA72" s="152"/>
      <c r="AB72" s="152"/>
      <c r="AC72" s="152"/>
      <c r="AD72" s="152"/>
      <c r="AE72" s="152"/>
      <c r="AF72" s="152"/>
      <c r="AG72" s="152"/>
      <c r="AH72" s="152"/>
      <c r="AI72" s="152"/>
      <c r="AJ72" s="152"/>
      <c r="AK72" s="152"/>
      <c r="AL72" s="152"/>
      <c r="AM72" s="152"/>
    </row>
    <row r="73" spans="2:39" ht="28.5">
      <c r="B73" s="136" t="s">
        <v>105</v>
      </c>
      <c r="C73" s="157" t="s">
        <v>232</v>
      </c>
      <c r="D73" s="158"/>
      <c r="E73" s="158"/>
      <c r="F73" s="158"/>
      <c r="G73" s="158"/>
      <c r="H73" s="158"/>
      <c r="I73" s="158"/>
      <c r="J73" s="159"/>
      <c r="K73" s="126">
        <v>57.65</v>
      </c>
      <c r="L73" s="131" t="s">
        <v>43</v>
      </c>
      <c r="M73" s="129">
        <v>63.55</v>
      </c>
      <c r="N73" s="160" t="s">
        <v>214</v>
      </c>
      <c r="O73" s="161"/>
      <c r="P73" s="161"/>
      <c r="Q73" s="161"/>
      <c r="R73" s="161"/>
      <c r="S73" s="161"/>
      <c r="T73" s="161"/>
      <c r="U73" s="161"/>
      <c r="V73" s="162"/>
      <c r="X73" s="152"/>
      <c r="Y73" s="152"/>
      <c r="Z73" s="152"/>
      <c r="AA73" s="152"/>
      <c r="AB73" s="152"/>
      <c r="AC73" s="152"/>
      <c r="AD73" s="152"/>
      <c r="AE73" s="152"/>
      <c r="AF73" s="152"/>
      <c r="AG73" s="152"/>
      <c r="AH73" s="152"/>
      <c r="AI73" s="152"/>
      <c r="AJ73" s="152"/>
      <c r="AK73" s="152"/>
      <c r="AL73" s="152"/>
      <c r="AM73" s="152"/>
    </row>
    <row r="74" spans="2:39" ht="28.5">
      <c r="B74" s="135" t="s">
        <v>106</v>
      </c>
      <c r="C74" s="157" t="s">
        <v>242</v>
      </c>
      <c r="D74" s="158"/>
      <c r="E74" s="158"/>
      <c r="F74" s="158"/>
      <c r="G74" s="158"/>
      <c r="H74" s="158"/>
      <c r="I74" s="158"/>
      <c r="J74" s="159"/>
      <c r="K74" s="125">
        <v>65.55</v>
      </c>
      <c r="L74" s="131" t="s">
        <v>43</v>
      </c>
      <c r="M74" s="128">
        <v>45.46</v>
      </c>
      <c r="N74" s="160" t="s">
        <v>304</v>
      </c>
      <c r="O74" s="161"/>
      <c r="P74" s="161"/>
      <c r="Q74" s="161"/>
      <c r="R74" s="161"/>
      <c r="S74" s="161"/>
      <c r="T74" s="161"/>
      <c r="U74" s="161"/>
      <c r="V74" s="162"/>
      <c r="X74" s="152"/>
      <c r="Y74" s="152"/>
      <c r="Z74" s="152"/>
      <c r="AA74" s="152"/>
      <c r="AB74" s="152"/>
      <c r="AC74" s="152"/>
      <c r="AD74" s="152"/>
      <c r="AE74" s="152"/>
      <c r="AF74" s="152"/>
      <c r="AG74" s="152"/>
      <c r="AH74" s="152"/>
      <c r="AI74" s="152"/>
      <c r="AJ74" s="152"/>
      <c r="AK74" s="152"/>
      <c r="AL74" s="152"/>
      <c r="AM74" s="152"/>
    </row>
    <row r="75" spans="2:39" ht="28.5">
      <c r="B75" s="136" t="s">
        <v>107</v>
      </c>
      <c r="C75" s="157" t="s">
        <v>244</v>
      </c>
      <c r="D75" s="158"/>
      <c r="E75" s="158"/>
      <c r="F75" s="158"/>
      <c r="G75" s="158"/>
      <c r="H75" s="158"/>
      <c r="I75" s="158"/>
      <c r="J75" s="159"/>
      <c r="K75" s="125">
        <v>59.05</v>
      </c>
      <c r="L75" s="131" t="s">
        <v>43</v>
      </c>
      <c r="M75" s="128">
        <v>50.25</v>
      </c>
      <c r="N75" s="160" t="s">
        <v>218</v>
      </c>
      <c r="O75" s="161"/>
      <c r="P75" s="161"/>
      <c r="Q75" s="161"/>
      <c r="R75" s="161"/>
      <c r="S75" s="161"/>
      <c r="T75" s="161"/>
      <c r="U75" s="161"/>
      <c r="V75" s="162"/>
      <c r="X75" s="152"/>
      <c r="Y75" s="152"/>
      <c r="Z75" s="152"/>
      <c r="AA75" s="152"/>
      <c r="AB75" s="152"/>
      <c r="AC75" s="152"/>
      <c r="AD75" s="152"/>
      <c r="AE75" s="152"/>
      <c r="AF75" s="152"/>
      <c r="AG75" s="152"/>
      <c r="AH75" s="152"/>
      <c r="AI75" s="152"/>
      <c r="AJ75" s="152"/>
      <c r="AK75" s="152"/>
      <c r="AL75" s="152"/>
      <c r="AM75" s="152"/>
    </row>
    <row r="76" spans="2:39" ht="28.5">
      <c r="B76" s="135" t="s">
        <v>108</v>
      </c>
      <c r="C76" s="157" t="s">
        <v>230</v>
      </c>
      <c r="D76" s="158"/>
      <c r="E76" s="158"/>
      <c r="F76" s="158"/>
      <c r="G76" s="158"/>
      <c r="H76" s="158"/>
      <c r="I76" s="158"/>
      <c r="J76" s="159"/>
      <c r="K76" s="126">
        <v>21.9</v>
      </c>
      <c r="L76" s="132" t="s">
        <v>43</v>
      </c>
      <c r="M76" s="129">
        <v>60.85</v>
      </c>
      <c r="N76" s="157" t="s">
        <v>226</v>
      </c>
      <c r="O76" s="158"/>
      <c r="P76" s="158"/>
      <c r="Q76" s="158"/>
      <c r="R76" s="158"/>
      <c r="S76" s="158"/>
      <c r="T76" s="158"/>
      <c r="U76" s="158"/>
      <c r="V76" s="163"/>
      <c r="X76" s="152"/>
      <c r="Y76" s="152"/>
      <c r="Z76" s="152"/>
      <c r="AA76" s="152"/>
      <c r="AB76" s="152"/>
      <c r="AC76" s="152"/>
      <c r="AD76" s="152"/>
      <c r="AE76" s="152"/>
      <c r="AF76" s="152"/>
      <c r="AG76" s="152"/>
      <c r="AH76" s="152"/>
      <c r="AI76" s="152"/>
      <c r="AJ76" s="152"/>
      <c r="AK76" s="152"/>
      <c r="AL76" s="152"/>
      <c r="AM76" s="152"/>
    </row>
    <row r="77" spans="2:39" ht="28.5">
      <c r="B77" s="136" t="s">
        <v>109</v>
      </c>
      <c r="C77" s="157" t="s">
        <v>231</v>
      </c>
      <c r="D77" s="158"/>
      <c r="E77" s="158"/>
      <c r="F77" s="158"/>
      <c r="G77" s="158"/>
      <c r="H77" s="158"/>
      <c r="I77" s="158"/>
      <c r="J77" s="159"/>
      <c r="K77" s="126">
        <v>63.85</v>
      </c>
      <c r="L77" s="132" t="s">
        <v>43</v>
      </c>
      <c r="M77" s="129">
        <v>85.15</v>
      </c>
      <c r="N77" s="157" t="s">
        <v>222</v>
      </c>
      <c r="O77" s="158"/>
      <c r="P77" s="158"/>
      <c r="Q77" s="158"/>
      <c r="R77" s="158"/>
      <c r="S77" s="158"/>
      <c r="T77" s="158"/>
      <c r="U77" s="158"/>
      <c r="V77" s="163"/>
      <c r="X77" s="152"/>
      <c r="Y77" s="152"/>
      <c r="Z77" s="152"/>
      <c r="AA77" s="152"/>
      <c r="AB77" s="152"/>
      <c r="AC77" s="152"/>
      <c r="AD77" s="152"/>
      <c r="AE77" s="152"/>
      <c r="AF77" s="152"/>
      <c r="AG77" s="152"/>
      <c r="AH77" s="152"/>
      <c r="AI77" s="152"/>
      <c r="AJ77" s="152"/>
      <c r="AK77" s="152"/>
      <c r="AL77" s="152"/>
      <c r="AM77" s="152"/>
    </row>
    <row r="78" spans="2:39" ht="29.25" thickBot="1">
      <c r="B78" s="137" t="s">
        <v>110</v>
      </c>
      <c r="C78" s="153" t="s">
        <v>243</v>
      </c>
      <c r="D78" s="154"/>
      <c r="E78" s="154"/>
      <c r="F78" s="154"/>
      <c r="G78" s="154"/>
      <c r="H78" s="154"/>
      <c r="I78" s="154"/>
      <c r="J78" s="155"/>
      <c r="K78" s="139">
        <v>72.760000000000005</v>
      </c>
      <c r="L78" s="133" t="s">
        <v>43</v>
      </c>
      <c r="M78" s="138">
        <v>45.91</v>
      </c>
      <c r="N78" s="153" t="s">
        <v>227</v>
      </c>
      <c r="O78" s="154"/>
      <c r="P78" s="154"/>
      <c r="Q78" s="154"/>
      <c r="R78" s="154"/>
      <c r="S78" s="154"/>
      <c r="T78" s="154"/>
      <c r="U78" s="154"/>
      <c r="V78" s="156"/>
      <c r="X78" s="152"/>
      <c r="Y78" s="152"/>
      <c r="Z78" s="152"/>
      <c r="AA78" s="152"/>
      <c r="AB78" s="152"/>
      <c r="AC78" s="152"/>
      <c r="AD78" s="152"/>
      <c r="AE78" s="152"/>
      <c r="AF78" s="152"/>
      <c r="AG78" s="152"/>
      <c r="AH78" s="152"/>
      <c r="AI78" s="152"/>
      <c r="AJ78" s="152"/>
      <c r="AK78" s="152"/>
      <c r="AL78" s="152"/>
      <c r="AM78" s="152"/>
    </row>
    <row r="79" spans="2:39" ht="28.5">
      <c r="C79" s="152"/>
      <c r="D79" s="152"/>
      <c r="E79" s="152"/>
      <c r="F79" s="152"/>
      <c r="G79" s="152"/>
      <c r="H79" s="152"/>
      <c r="I79" s="152"/>
      <c r="J79" s="152"/>
      <c r="K79" s="122"/>
      <c r="X79" s="152"/>
      <c r="Y79" s="152"/>
      <c r="Z79" s="152"/>
      <c r="AA79" s="152"/>
      <c r="AB79" s="152"/>
      <c r="AC79" s="152"/>
      <c r="AD79" s="152"/>
      <c r="AE79" s="152"/>
      <c r="AF79" s="152"/>
      <c r="AG79" s="152"/>
      <c r="AH79" s="152"/>
      <c r="AI79" s="152"/>
      <c r="AJ79" s="152"/>
      <c r="AK79" s="152"/>
      <c r="AL79" s="152"/>
      <c r="AM79" s="152"/>
    </row>
    <row r="80" spans="2:39" ht="28.5">
      <c r="C80" s="152"/>
      <c r="D80" s="152"/>
      <c r="E80" s="152"/>
      <c r="F80" s="152"/>
      <c r="G80" s="152"/>
      <c r="H80" s="152"/>
      <c r="I80" s="152"/>
      <c r="J80" s="152"/>
      <c r="K80" s="122"/>
    </row>
    <row r="81" spans="3:11" ht="28.5">
      <c r="C81" s="152"/>
      <c r="D81" s="152"/>
      <c r="E81" s="152"/>
      <c r="F81" s="152"/>
      <c r="G81" s="152"/>
      <c r="H81" s="152"/>
      <c r="I81" s="152"/>
      <c r="J81" s="152"/>
      <c r="K81" s="122"/>
    </row>
    <row r="82" spans="3:11" ht="28.5">
      <c r="C82" s="152"/>
      <c r="D82" s="152"/>
      <c r="E82" s="152"/>
      <c r="F82" s="152"/>
      <c r="G82" s="152"/>
      <c r="H82" s="152"/>
      <c r="I82" s="152"/>
      <c r="J82" s="152"/>
      <c r="K82" s="122"/>
    </row>
    <row r="83" spans="3:11" ht="28.5">
      <c r="C83" s="152"/>
      <c r="D83" s="152"/>
      <c r="E83" s="152"/>
      <c r="F83" s="152"/>
      <c r="G83" s="152"/>
      <c r="H83" s="152"/>
      <c r="I83" s="152"/>
      <c r="J83" s="152"/>
      <c r="K83" s="122"/>
    </row>
    <row r="84" spans="3:11" ht="28.5">
      <c r="C84" s="152"/>
      <c r="D84" s="152"/>
      <c r="E84" s="152"/>
      <c r="F84" s="152"/>
      <c r="G84" s="152"/>
      <c r="H84" s="152"/>
      <c r="I84" s="152"/>
      <c r="J84" s="152"/>
      <c r="K84" s="122"/>
    </row>
    <row r="85" spans="3:11" ht="28.5">
      <c r="C85" s="152"/>
      <c r="D85" s="152"/>
      <c r="E85" s="152"/>
      <c r="F85" s="152"/>
      <c r="G85" s="152"/>
      <c r="H85" s="152"/>
      <c r="I85" s="152"/>
      <c r="J85" s="152"/>
      <c r="K85" s="122"/>
    </row>
    <row r="86" spans="3:11" ht="28.5">
      <c r="C86" s="152"/>
      <c r="D86" s="152"/>
      <c r="E86" s="152"/>
      <c r="F86" s="152"/>
      <c r="G86" s="152"/>
      <c r="H86" s="152"/>
      <c r="I86" s="152"/>
      <c r="J86" s="152"/>
      <c r="K86" s="122"/>
    </row>
    <row r="87" spans="3:11" ht="28.5">
      <c r="C87" s="152"/>
      <c r="D87" s="152"/>
      <c r="E87" s="152"/>
      <c r="F87" s="152"/>
      <c r="G87" s="152"/>
      <c r="H87" s="152"/>
      <c r="I87" s="152"/>
      <c r="J87" s="152"/>
      <c r="K87" s="122"/>
    </row>
    <row r="88" spans="3:11" ht="28.5">
      <c r="C88" s="152"/>
      <c r="D88" s="152"/>
      <c r="E88" s="152"/>
      <c r="F88" s="152"/>
      <c r="G88" s="152"/>
      <c r="H88" s="152"/>
      <c r="I88" s="152"/>
      <c r="J88" s="152"/>
      <c r="K88" s="122"/>
    </row>
    <row r="89" spans="3:11" ht="28.5">
      <c r="C89" s="152"/>
      <c r="D89" s="152"/>
      <c r="E89" s="152"/>
      <c r="F89" s="152"/>
      <c r="G89" s="152"/>
      <c r="H89" s="152"/>
      <c r="I89" s="152"/>
      <c r="J89" s="152"/>
      <c r="K89" s="122"/>
    </row>
    <row r="90" spans="3:11" ht="28.5">
      <c r="C90" s="152"/>
      <c r="D90" s="152"/>
      <c r="E90" s="152"/>
      <c r="F90" s="152"/>
      <c r="G90" s="152"/>
      <c r="H90" s="152"/>
      <c r="I90" s="152"/>
      <c r="J90" s="152"/>
      <c r="K90" s="122"/>
    </row>
    <row r="91" spans="3:11" ht="28.5">
      <c r="C91" s="152"/>
      <c r="D91" s="152"/>
      <c r="E91" s="152"/>
      <c r="F91" s="152"/>
      <c r="G91" s="152"/>
      <c r="H91" s="152"/>
      <c r="I91" s="152"/>
      <c r="J91" s="152"/>
      <c r="K91" s="122"/>
    </row>
    <row r="92" spans="3:11" ht="28.5">
      <c r="C92" s="152"/>
      <c r="D92" s="152"/>
      <c r="E92" s="152"/>
      <c r="F92" s="152"/>
      <c r="G92" s="152"/>
      <c r="H92" s="152"/>
      <c r="I92" s="152"/>
      <c r="J92" s="152"/>
      <c r="K92" s="122"/>
    </row>
    <row r="93" spans="3:11" ht="28.5">
      <c r="C93" s="152"/>
      <c r="D93" s="152"/>
      <c r="E93" s="152"/>
      <c r="F93" s="152"/>
      <c r="G93" s="152"/>
      <c r="H93" s="152"/>
      <c r="I93" s="152"/>
      <c r="J93" s="152"/>
      <c r="K93" s="122"/>
    </row>
    <row r="94" spans="3:11" ht="28.5">
      <c r="C94" s="152"/>
      <c r="D94" s="152"/>
      <c r="E94" s="152"/>
      <c r="F94" s="152"/>
      <c r="G94" s="152"/>
      <c r="H94" s="152"/>
      <c r="I94" s="152"/>
      <c r="J94" s="152"/>
      <c r="K94" s="122"/>
    </row>
    <row r="95" spans="3:11" ht="28.5">
      <c r="C95" s="152"/>
      <c r="D95" s="152"/>
      <c r="E95" s="152"/>
      <c r="F95" s="152"/>
      <c r="G95" s="152"/>
      <c r="H95" s="152"/>
      <c r="I95" s="152"/>
      <c r="J95" s="152"/>
      <c r="K95" s="122"/>
    </row>
    <row r="96" spans="3:11" ht="28.5">
      <c r="C96" s="152"/>
      <c r="D96" s="152"/>
      <c r="E96" s="152"/>
      <c r="F96" s="152"/>
      <c r="G96" s="152"/>
      <c r="H96" s="152"/>
      <c r="I96" s="152"/>
      <c r="J96" s="152"/>
      <c r="K96" s="122"/>
    </row>
    <row r="97" spans="3:11" ht="28.5">
      <c r="C97" s="152"/>
      <c r="D97" s="152"/>
      <c r="E97" s="152"/>
      <c r="F97" s="152"/>
      <c r="G97" s="152"/>
      <c r="H97" s="152"/>
      <c r="I97" s="152"/>
      <c r="J97" s="152"/>
      <c r="K97" s="122"/>
    </row>
    <row r="98" spans="3:11" ht="28.5">
      <c r="C98" s="152"/>
      <c r="D98" s="152"/>
      <c r="E98" s="152"/>
      <c r="F98" s="152"/>
      <c r="G98" s="152"/>
      <c r="H98" s="152"/>
      <c r="I98" s="152"/>
      <c r="J98" s="152"/>
      <c r="K98" s="122"/>
    </row>
    <row r="99" spans="3:11" ht="28.5">
      <c r="C99" s="152"/>
      <c r="D99" s="152"/>
      <c r="E99" s="152"/>
      <c r="F99" s="152"/>
      <c r="G99" s="152"/>
      <c r="H99" s="152"/>
      <c r="I99" s="152"/>
      <c r="J99" s="152"/>
      <c r="K99" s="122"/>
    </row>
    <row r="100" spans="3:11" ht="28.5">
      <c r="C100" s="152"/>
      <c r="D100" s="152"/>
      <c r="E100" s="152"/>
      <c r="F100" s="152"/>
      <c r="G100" s="152"/>
      <c r="H100" s="152"/>
      <c r="I100" s="152"/>
      <c r="J100" s="152"/>
      <c r="K100" s="122"/>
    </row>
    <row r="101" spans="3:11" ht="28.5">
      <c r="C101" s="152"/>
      <c r="D101" s="152"/>
      <c r="E101" s="152"/>
      <c r="F101" s="152"/>
      <c r="G101" s="152"/>
      <c r="H101" s="152"/>
      <c r="I101" s="152"/>
      <c r="J101" s="152"/>
      <c r="K101" s="122"/>
    </row>
    <row r="102" spans="3:11" ht="28.5">
      <c r="C102" s="152"/>
      <c r="D102" s="152"/>
      <c r="E102" s="152"/>
      <c r="F102" s="152"/>
      <c r="G102" s="152"/>
      <c r="H102" s="152"/>
      <c r="I102" s="152"/>
      <c r="J102" s="152"/>
      <c r="K102" s="122"/>
    </row>
    <row r="103" spans="3:11" ht="28.5">
      <c r="C103" s="152"/>
      <c r="D103" s="152"/>
      <c r="E103" s="152"/>
      <c r="F103" s="152"/>
      <c r="G103" s="152"/>
      <c r="H103" s="152"/>
      <c r="I103" s="152"/>
      <c r="J103" s="152"/>
      <c r="K103" s="122"/>
    </row>
    <row r="104" spans="3:11" ht="28.5">
      <c r="C104" s="152"/>
      <c r="D104" s="152"/>
      <c r="E104" s="152"/>
      <c r="F104" s="152"/>
      <c r="G104" s="152"/>
      <c r="H104" s="152"/>
      <c r="I104" s="152"/>
      <c r="J104" s="152"/>
      <c r="K104" s="122"/>
    </row>
    <row r="105" spans="3:11" ht="28.5">
      <c r="C105" s="152"/>
      <c r="D105" s="152"/>
      <c r="E105" s="152"/>
      <c r="F105" s="152"/>
      <c r="G105" s="152"/>
      <c r="H105" s="152"/>
      <c r="I105" s="152"/>
      <c r="J105" s="152"/>
      <c r="K105" s="122"/>
    </row>
    <row r="106" spans="3:11" ht="28.5">
      <c r="C106" s="152"/>
      <c r="D106" s="152"/>
      <c r="E106" s="152"/>
      <c r="F106" s="152"/>
      <c r="G106" s="152"/>
      <c r="H106" s="152"/>
      <c r="I106" s="152"/>
      <c r="J106" s="152"/>
      <c r="K106" s="122"/>
    </row>
    <row r="107" spans="3:11" ht="28.5">
      <c r="C107" s="152"/>
      <c r="D107" s="152"/>
      <c r="E107" s="152"/>
      <c r="F107" s="152"/>
      <c r="G107" s="152"/>
      <c r="H107" s="152"/>
      <c r="I107" s="152"/>
      <c r="J107" s="152"/>
      <c r="K107" s="122"/>
    </row>
    <row r="108" spans="3:11" ht="28.5">
      <c r="C108" s="152"/>
      <c r="D108" s="152"/>
      <c r="E108" s="152"/>
      <c r="F108" s="152"/>
      <c r="G108" s="152"/>
      <c r="H108" s="152"/>
      <c r="I108" s="152"/>
      <c r="J108" s="152"/>
      <c r="K108" s="122"/>
    </row>
    <row r="109" spans="3:11" ht="28.5">
      <c r="C109" s="152"/>
      <c r="D109" s="152"/>
      <c r="E109" s="152"/>
      <c r="F109" s="152"/>
      <c r="G109" s="152"/>
      <c r="H109" s="152"/>
      <c r="I109" s="152"/>
      <c r="J109" s="152"/>
      <c r="K109" s="122"/>
    </row>
    <row r="110" spans="3:11" ht="28.5">
      <c r="C110" s="152"/>
      <c r="D110" s="152"/>
      <c r="E110" s="152"/>
      <c r="F110" s="152"/>
      <c r="G110" s="152"/>
      <c r="H110" s="152"/>
      <c r="I110" s="152"/>
      <c r="J110" s="152"/>
      <c r="K110" s="122"/>
    </row>
    <row r="111" spans="3:11" ht="28.5">
      <c r="C111" s="152"/>
      <c r="D111" s="152"/>
      <c r="E111" s="152"/>
      <c r="F111" s="152"/>
      <c r="G111" s="152"/>
      <c r="H111" s="152"/>
      <c r="I111" s="152"/>
      <c r="J111" s="152"/>
      <c r="K111" s="122"/>
    </row>
    <row r="112" spans="3:11" ht="28.5">
      <c r="C112" s="152"/>
      <c r="D112" s="152"/>
      <c r="E112" s="152"/>
      <c r="F112" s="152"/>
      <c r="G112" s="152"/>
      <c r="H112" s="152"/>
      <c r="I112" s="152"/>
      <c r="J112" s="152"/>
      <c r="K112" s="122"/>
    </row>
    <row r="113" spans="3:11" ht="28.5">
      <c r="C113" s="152"/>
      <c r="D113" s="152"/>
      <c r="E113" s="152"/>
      <c r="F113" s="152"/>
      <c r="G113" s="152"/>
      <c r="H113" s="152"/>
      <c r="I113" s="152"/>
      <c r="J113" s="152"/>
      <c r="K113" s="122"/>
    </row>
    <row r="114" spans="3:11" ht="28.5">
      <c r="C114" s="152"/>
      <c r="D114" s="152"/>
      <c r="E114" s="152"/>
      <c r="F114" s="152"/>
      <c r="G114" s="152"/>
      <c r="H114" s="152"/>
      <c r="I114" s="152"/>
      <c r="J114" s="152"/>
      <c r="K114" s="122"/>
    </row>
    <row r="115" spans="3:11" ht="28.5">
      <c r="C115" s="152"/>
      <c r="D115" s="152"/>
      <c r="E115" s="152"/>
      <c r="F115" s="152"/>
      <c r="G115" s="152"/>
      <c r="H115" s="152"/>
      <c r="I115" s="152"/>
      <c r="J115" s="152"/>
      <c r="K115" s="122"/>
    </row>
    <row r="116" spans="3:11" ht="28.5">
      <c r="C116" s="152"/>
      <c r="D116" s="152"/>
      <c r="E116" s="152"/>
      <c r="F116" s="152"/>
      <c r="G116" s="152"/>
      <c r="H116" s="152"/>
      <c r="I116" s="152"/>
      <c r="J116" s="152"/>
      <c r="K116" s="122"/>
    </row>
    <row r="117" spans="3:11" ht="28.5">
      <c r="C117" s="152"/>
      <c r="D117" s="152"/>
      <c r="E117" s="152"/>
      <c r="F117" s="152"/>
      <c r="G117" s="152"/>
      <c r="H117" s="152"/>
      <c r="I117" s="152"/>
      <c r="J117" s="152"/>
      <c r="K117" s="122"/>
    </row>
    <row r="118" spans="3:11" ht="28.5">
      <c r="C118" s="152"/>
      <c r="D118" s="152"/>
      <c r="E118" s="152"/>
      <c r="F118" s="152"/>
      <c r="G118" s="152"/>
      <c r="H118" s="152"/>
      <c r="I118" s="152"/>
      <c r="J118" s="152"/>
      <c r="K118" s="122"/>
    </row>
    <row r="119" spans="3:11" ht="28.5">
      <c r="C119" s="152"/>
      <c r="D119" s="152"/>
      <c r="E119" s="152"/>
      <c r="F119" s="152"/>
      <c r="G119" s="152"/>
      <c r="H119" s="152"/>
      <c r="I119" s="152"/>
      <c r="J119" s="152"/>
      <c r="K119" s="122"/>
    </row>
    <row r="120" spans="3:11" ht="28.5">
      <c r="C120" s="152"/>
      <c r="D120" s="152"/>
      <c r="E120" s="152"/>
      <c r="F120" s="152"/>
      <c r="G120" s="152"/>
      <c r="H120" s="152"/>
      <c r="I120" s="152"/>
      <c r="J120" s="152"/>
      <c r="K120" s="122"/>
    </row>
    <row r="121" spans="3:11" ht="28.5">
      <c r="C121" s="152"/>
      <c r="D121" s="152"/>
      <c r="E121" s="152"/>
      <c r="F121" s="152"/>
      <c r="G121" s="152"/>
      <c r="H121" s="152"/>
      <c r="I121" s="152"/>
      <c r="J121" s="152"/>
      <c r="K121" s="122"/>
    </row>
    <row r="122" spans="3:11" ht="28.5">
      <c r="C122" s="152"/>
      <c r="D122" s="152"/>
      <c r="E122" s="152"/>
      <c r="F122" s="152"/>
      <c r="G122" s="152"/>
      <c r="H122" s="152"/>
      <c r="I122" s="152"/>
      <c r="J122" s="152"/>
      <c r="K122" s="122"/>
    </row>
    <row r="123" spans="3:11" ht="28.5">
      <c r="C123" s="152"/>
      <c r="D123" s="152"/>
      <c r="E123" s="152"/>
      <c r="F123" s="152"/>
      <c r="G123" s="152"/>
      <c r="H123" s="152"/>
      <c r="I123" s="152"/>
      <c r="J123" s="152"/>
      <c r="K123" s="122"/>
    </row>
    <row r="124" spans="3:11" ht="28.5">
      <c r="C124" s="152"/>
      <c r="D124" s="152"/>
      <c r="E124" s="152"/>
      <c r="F124" s="152"/>
      <c r="G124" s="152"/>
      <c r="H124" s="152"/>
      <c r="I124" s="152"/>
      <c r="J124" s="152"/>
      <c r="K124" s="122"/>
    </row>
    <row r="125" spans="3:11" ht="28.5">
      <c r="C125" s="152"/>
      <c r="D125" s="152"/>
      <c r="E125" s="152"/>
      <c r="F125" s="152"/>
      <c r="G125" s="152"/>
      <c r="H125" s="152"/>
      <c r="I125" s="152"/>
      <c r="J125" s="152"/>
      <c r="K125" s="122"/>
    </row>
    <row r="126" spans="3:11" ht="28.5">
      <c r="C126" s="152"/>
      <c r="D126" s="152"/>
      <c r="E126" s="152"/>
      <c r="F126" s="152"/>
      <c r="G126" s="152"/>
      <c r="H126" s="152"/>
      <c r="I126" s="152"/>
      <c r="J126" s="152"/>
      <c r="K126" s="122"/>
    </row>
    <row r="127" spans="3:11" ht="28.5">
      <c r="C127" s="152"/>
      <c r="D127" s="152"/>
      <c r="E127" s="152"/>
      <c r="F127" s="152"/>
      <c r="G127" s="152"/>
      <c r="H127" s="152"/>
      <c r="I127" s="152"/>
      <c r="J127" s="152"/>
      <c r="K127" s="122"/>
    </row>
    <row r="128" spans="3:11" ht="28.5">
      <c r="C128" s="152"/>
      <c r="D128" s="152"/>
      <c r="E128" s="152"/>
      <c r="F128" s="152"/>
      <c r="G128" s="152"/>
      <c r="H128" s="152"/>
      <c r="I128" s="152"/>
      <c r="J128" s="152"/>
      <c r="K128" s="122"/>
    </row>
    <row r="129" spans="3:11" ht="28.5">
      <c r="C129" s="152"/>
      <c r="D129" s="152"/>
      <c r="E129" s="152"/>
      <c r="F129" s="152"/>
      <c r="G129" s="152"/>
      <c r="H129" s="152"/>
      <c r="I129" s="152"/>
      <c r="J129" s="152"/>
      <c r="K129" s="122"/>
    </row>
    <row r="130" spans="3:11" ht="28.5">
      <c r="C130" s="152"/>
      <c r="D130" s="152"/>
      <c r="E130" s="152"/>
      <c r="F130" s="152"/>
      <c r="G130" s="152"/>
      <c r="H130" s="152"/>
      <c r="I130" s="152"/>
      <c r="J130" s="152"/>
      <c r="K130" s="122"/>
    </row>
    <row r="131" spans="3:11" ht="28.5">
      <c r="C131" s="152"/>
      <c r="D131" s="152"/>
      <c r="E131" s="152"/>
      <c r="F131" s="152"/>
      <c r="G131" s="152"/>
      <c r="H131" s="152"/>
      <c r="I131" s="152"/>
      <c r="J131" s="152"/>
      <c r="K131" s="122"/>
    </row>
    <row r="132" spans="3:11" ht="28.5">
      <c r="C132" s="152"/>
      <c r="D132" s="152"/>
      <c r="E132" s="152"/>
      <c r="F132" s="152"/>
      <c r="G132" s="152"/>
      <c r="H132" s="152"/>
      <c r="I132" s="152"/>
      <c r="J132" s="152"/>
      <c r="K132" s="123"/>
    </row>
    <row r="133" spans="3:11" ht="28.5">
      <c r="C133" s="152"/>
      <c r="D133" s="152"/>
      <c r="E133" s="152"/>
      <c r="F133" s="152"/>
      <c r="G133" s="152"/>
      <c r="H133" s="152"/>
      <c r="I133" s="152"/>
      <c r="J133" s="152"/>
      <c r="K133" s="123"/>
    </row>
    <row r="134" spans="3:11" ht="28.5">
      <c r="C134" s="152"/>
      <c r="D134" s="152"/>
      <c r="E134" s="152"/>
      <c r="F134" s="152"/>
      <c r="G134" s="152"/>
      <c r="H134" s="152"/>
      <c r="I134" s="152"/>
      <c r="J134" s="152"/>
      <c r="K134" s="123"/>
    </row>
  </sheetData>
  <sheetProtection password="EE74" sheet="1" objects="1" scenarios="1"/>
  <mergeCells count="287">
    <mergeCell ref="C26:J26"/>
    <mergeCell ref="N26:V26"/>
    <mergeCell ref="C27:J27"/>
    <mergeCell ref="N27:V27"/>
    <mergeCell ref="C28:J28"/>
    <mergeCell ref="N28:V28"/>
    <mergeCell ref="B14:V16"/>
    <mergeCell ref="C23:J23"/>
    <mergeCell ref="N23:V23"/>
    <mergeCell ref="C24:J24"/>
    <mergeCell ref="N24:V24"/>
    <mergeCell ref="C25:J25"/>
    <mergeCell ref="N25:V25"/>
    <mergeCell ref="B18:V20"/>
    <mergeCell ref="B21:H22"/>
    <mergeCell ref="I21:P22"/>
    <mergeCell ref="Q21:V22"/>
    <mergeCell ref="C33:J33"/>
    <mergeCell ref="N33:V33"/>
    <mergeCell ref="C34:J34"/>
    <mergeCell ref="N34:V34"/>
    <mergeCell ref="C35:J35"/>
    <mergeCell ref="N35:V35"/>
    <mergeCell ref="C29:J29"/>
    <mergeCell ref="N29:V29"/>
    <mergeCell ref="C30:J30"/>
    <mergeCell ref="N30:V30"/>
    <mergeCell ref="C31:J31"/>
    <mergeCell ref="N31:V31"/>
    <mergeCell ref="C39:J39"/>
    <mergeCell ref="N39:V39"/>
    <mergeCell ref="C40:J40"/>
    <mergeCell ref="N40:V40"/>
    <mergeCell ref="C41:J41"/>
    <mergeCell ref="N41:V41"/>
    <mergeCell ref="C36:J36"/>
    <mergeCell ref="N36:V36"/>
    <mergeCell ref="C37:J37"/>
    <mergeCell ref="N37:V37"/>
    <mergeCell ref="C38:J38"/>
    <mergeCell ref="N38:V38"/>
    <mergeCell ref="C45:J45"/>
    <mergeCell ref="N45:V45"/>
    <mergeCell ref="C46:J46"/>
    <mergeCell ref="N46:V46"/>
    <mergeCell ref="C47:J47"/>
    <mergeCell ref="N47:V47"/>
    <mergeCell ref="C42:J42"/>
    <mergeCell ref="N42:V42"/>
    <mergeCell ref="C43:J43"/>
    <mergeCell ref="N43:V43"/>
    <mergeCell ref="C44:J44"/>
    <mergeCell ref="N44:V44"/>
    <mergeCell ref="C51:J51"/>
    <mergeCell ref="N51:V51"/>
    <mergeCell ref="C52:J52"/>
    <mergeCell ref="N52:V52"/>
    <mergeCell ref="C53:J53"/>
    <mergeCell ref="N53:V53"/>
    <mergeCell ref="C48:J48"/>
    <mergeCell ref="N48:V48"/>
    <mergeCell ref="C49:J49"/>
    <mergeCell ref="N49:V49"/>
    <mergeCell ref="C50:J50"/>
    <mergeCell ref="N50:V50"/>
    <mergeCell ref="C57:J57"/>
    <mergeCell ref="N57:V57"/>
    <mergeCell ref="C58:J58"/>
    <mergeCell ref="N58:V58"/>
    <mergeCell ref="C59:J59"/>
    <mergeCell ref="N59:V59"/>
    <mergeCell ref="C54:J54"/>
    <mergeCell ref="N54:V54"/>
    <mergeCell ref="C55:J55"/>
    <mergeCell ref="N55:V55"/>
    <mergeCell ref="C56:J56"/>
    <mergeCell ref="N56:V56"/>
    <mergeCell ref="C63:J63"/>
    <mergeCell ref="N63:V63"/>
    <mergeCell ref="C64:J64"/>
    <mergeCell ref="N64:V64"/>
    <mergeCell ref="C65:J65"/>
    <mergeCell ref="N65:V65"/>
    <mergeCell ref="C60:J60"/>
    <mergeCell ref="N60:V60"/>
    <mergeCell ref="C61:J61"/>
    <mergeCell ref="N61:V61"/>
    <mergeCell ref="C62:J62"/>
    <mergeCell ref="N62:V62"/>
    <mergeCell ref="C69:J69"/>
    <mergeCell ref="N69:V69"/>
    <mergeCell ref="C70:J70"/>
    <mergeCell ref="N70:V70"/>
    <mergeCell ref="C71:J71"/>
    <mergeCell ref="N71:V71"/>
    <mergeCell ref="C66:J66"/>
    <mergeCell ref="N66:V66"/>
    <mergeCell ref="C67:J67"/>
    <mergeCell ref="N67:V67"/>
    <mergeCell ref="C68:J68"/>
    <mergeCell ref="N68:V68"/>
    <mergeCell ref="X24:AE24"/>
    <mergeCell ref="X25:AE25"/>
    <mergeCell ref="X26:AE26"/>
    <mergeCell ref="X27:AE27"/>
    <mergeCell ref="X28:AE28"/>
    <mergeCell ref="X29:AE29"/>
    <mergeCell ref="X30:AE30"/>
    <mergeCell ref="X31:AE31"/>
    <mergeCell ref="C78:J78"/>
    <mergeCell ref="N78:V78"/>
    <mergeCell ref="C32:J32"/>
    <mergeCell ref="N32:V32"/>
    <mergeCell ref="C75:J75"/>
    <mergeCell ref="N75:V75"/>
    <mergeCell ref="C76:J76"/>
    <mergeCell ref="N76:V76"/>
    <mergeCell ref="C77:J77"/>
    <mergeCell ref="N77:V77"/>
    <mergeCell ref="C72:J72"/>
    <mergeCell ref="N72:V72"/>
    <mergeCell ref="C73:J73"/>
    <mergeCell ref="N73:V73"/>
    <mergeCell ref="C74:J74"/>
    <mergeCell ref="N74:V74"/>
    <mergeCell ref="X32:AE32"/>
    <mergeCell ref="X33:AE33"/>
    <mergeCell ref="X34:AE34"/>
    <mergeCell ref="X35:AE35"/>
    <mergeCell ref="X36:AE36"/>
    <mergeCell ref="X37:AE37"/>
    <mergeCell ref="X38:AE38"/>
    <mergeCell ref="AF23:AM23"/>
    <mergeCell ref="AF24:AM24"/>
    <mergeCell ref="AF25:AM25"/>
    <mergeCell ref="AF26:AM26"/>
    <mergeCell ref="AF27:AM27"/>
    <mergeCell ref="AF28:AM28"/>
    <mergeCell ref="AF29:AM29"/>
    <mergeCell ref="AF30:AM30"/>
    <mergeCell ref="AF31:AM31"/>
    <mergeCell ref="AF32:AM32"/>
    <mergeCell ref="AF33:AM33"/>
    <mergeCell ref="AF34:AM34"/>
    <mergeCell ref="AF35:AM35"/>
    <mergeCell ref="AF36:AM36"/>
    <mergeCell ref="AF37:AM37"/>
    <mergeCell ref="AF38:AM38"/>
    <mergeCell ref="X23:AE23"/>
    <mergeCell ref="X39:AE39"/>
    <mergeCell ref="AF39:AM39"/>
    <mergeCell ref="X40:AE40"/>
    <mergeCell ref="AF40:AM40"/>
    <mergeCell ref="X41:AE41"/>
    <mergeCell ref="AF41:AM41"/>
    <mergeCell ref="X42:AE42"/>
    <mergeCell ref="AF42:AM42"/>
    <mergeCell ref="X43:AE43"/>
    <mergeCell ref="AF43:AM43"/>
    <mergeCell ref="X44:AE44"/>
    <mergeCell ref="AF44:AM44"/>
    <mergeCell ref="X45:AE45"/>
    <mergeCell ref="AF45:AM45"/>
    <mergeCell ref="X46:AE46"/>
    <mergeCell ref="AF46:AM46"/>
    <mergeCell ref="X47:AE47"/>
    <mergeCell ref="AF47:AM47"/>
    <mergeCell ref="X48:AE48"/>
    <mergeCell ref="AF48:AM48"/>
    <mergeCell ref="X49:AE49"/>
    <mergeCell ref="AF49:AM49"/>
    <mergeCell ref="X50:AE50"/>
    <mergeCell ref="AF50:AM50"/>
    <mergeCell ref="X51:AE51"/>
    <mergeCell ref="AF51:AM51"/>
    <mergeCell ref="X52:AE52"/>
    <mergeCell ref="AF52:AM52"/>
    <mergeCell ref="X53:AE53"/>
    <mergeCell ref="AF53:AM53"/>
    <mergeCell ref="X54:AE54"/>
    <mergeCell ref="AF54:AM54"/>
    <mergeCell ref="X55:AE55"/>
    <mergeCell ref="X56:AE56"/>
    <mergeCell ref="X57:AE57"/>
    <mergeCell ref="X58:AE58"/>
    <mergeCell ref="X59:AE59"/>
    <mergeCell ref="X60:AE60"/>
    <mergeCell ref="AF55:AM55"/>
    <mergeCell ref="AF56:AM56"/>
    <mergeCell ref="AF57:AM57"/>
    <mergeCell ref="AF58:AM58"/>
    <mergeCell ref="AF59:AM59"/>
    <mergeCell ref="AF60:AM60"/>
    <mergeCell ref="X61:AE61"/>
    <mergeCell ref="X62:AE62"/>
    <mergeCell ref="X63:AE63"/>
    <mergeCell ref="X64:AE64"/>
    <mergeCell ref="X65:AE65"/>
    <mergeCell ref="X66:AE66"/>
    <mergeCell ref="X67:AE67"/>
    <mergeCell ref="X68:AE68"/>
    <mergeCell ref="X69:AE69"/>
    <mergeCell ref="AF79:AM79"/>
    <mergeCell ref="X70:AE70"/>
    <mergeCell ref="X71:AE71"/>
    <mergeCell ref="X72:AE72"/>
    <mergeCell ref="X73:AE73"/>
    <mergeCell ref="X74:AE74"/>
    <mergeCell ref="X75:AE75"/>
    <mergeCell ref="X76:AE76"/>
    <mergeCell ref="X77:AE77"/>
    <mergeCell ref="X78:AE78"/>
    <mergeCell ref="C101:J101"/>
    <mergeCell ref="C102:J102"/>
    <mergeCell ref="C103:J103"/>
    <mergeCell ref="C104:J104"/>
    <mergeCell ref="C105:J105"/>
    <mergeCell ref="X79:AE79"/>
    <mergeCell ref="AF61:AM61"/>
    <mergeCell ref="AF62:AM62"/>
    <mergeCell ref="AF63:AM63"/>
    <mergeCell ref="AF64:AM64"/>
    <mergeCell ref="AF65:AM65"/>
    <mergeCell ref="AF66:AM66"/>
    <mergeCell ref="AF67:AM67"/>
    <mergeCell ref="AF68:AM68"/>
    <mergeCell ref="AF69:AM69"/>
    <mergeCell ref="AF70:AM70"/>
    <mergeCell ref="AF71:AM71"/>
    <mergeCell ref="AF72:AM72"/>
    <mergeCell ref="AF73:AM73"/>
    <mergeCell ref="AF74:AM74"/>
    <mergeCell ref="AF75:AM75"/>
    <mergeCell ref="AF76:AM76"/>
    <mergeCell ref="AF77:AM77"/>
    <mergeCell ref="AF78:AM78"/>
    <mergeCell ref="C106:J106"/>
    <mergeCell ref="C107:J107"/>
    <mergeCell ref="C108:J108"/>
    <mergeCell ref="C109:J109"/>
    <mergeCell ref="C110:J110"/>
    <mergeCell ref="C111:J111"/>
    <mergeCell ref="C112:J112"/>
    <mergeCell ref="C113:J113"/>
    <mergeCell ref="C114:J114"/>
    <mergeCell ref="C115:J115"/>
    <mergeCell ref="C116:J116"/>
    <mergeCell ref="C117:J117"/>
    <mergeCell ref="C118:J118"/>
    <mergeCell ref="C119:J119"/>
    <mergeCell ref="C120:J120"/>
    <mergeCell ref="C121:J121"/>
    <mergeCell ref="C122:J122"/>
    <mergeCell ref="C123:J123"/>
    <mergeCell ref="C124:J124"/>
    <mergeCell ref="C125:J125"/>
    <mergeCell ref="C126:J126"/>
    <mergeCell ref="C127:J127"/>
    <mergeCell ref="C128:J128"/>
    <mergeCell ref="C129:J129"/>
    <mergeCell ref="C130:J130"/>
    <mergeCell ref="C131:J131"/>
    <mergeCell ref="C132:J132"/>
    <mergeCell ref="C133:J133"/>
    <mergeCell ref="C134:J134"/>
    <mergeCell ref="C79:J79"/>
    <mergeCell ref="C80:J80"/>
    <mergeCell ref="C81:J81"/>
    <mergeCell ref="C82:J82"/>
    <mergeCell ref="C83:J83"/>
    <mergeCell ref="C84:J84"/>
    <mergeCell ref="C85:J85"/>
    <mergeCell ref="C86:J86"/>
    <mergeCell ref="C87:J87"/>
    <mergeCell ref="C88:J88"/>
    <mergeCell ref="C89:J89"/>
    <mergeCell ref="C90:J90"/>
    <mergeCell ref="C91:J91"/>
    <mergeCell ref="C92:J92"/>
    <mergeCell ref="C93:J93"/>
    <mergeCell ref="C94:J94"/>
    <mergeCell ref="C95:J95"/>
    <mergeCell ref="C96:J96"/>
    <mergeCell ref="C97:J97"/>
    <mergeCell ref="C98:J98"/>
    <mergeCell ref="C99:J99"/>
    <mergeCell ref="C100:J100"/>
  </mergeCells>
  <hyperlinks>
    <hyperlink ref="N64" r:id="rId1"/>
  </hyperlinks>
  <pageMargins left="0.511811024" right="0.511811024" top="0.78740157499999996" bottom="0.78740157499999996" header="0.31496062000000002" footer="0.31496062000000002"/>
  <pageSetup paperSize="9" orientation="portrait" horizontalDpi="4294967293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B13:AM467"/>
  <sheetViews>
    <sheetView showGridLines="0" showRowColHeaders="0" topLeftCell="A264" zoomScale="67" zoomScaleNormal="67" workbookViewId="0">
      <selection activeCell="V26" sqref="V26"/>
    </sheetView>
  </sheetViews>
  <sheetFormatPr defaultRowHeight="15"/>
  <cols>
    <col min="1" max="1" width="4" style="19" customWidth="1"/>
    <col min="2" max="2" width="7.28515625" style="19" bestFit="1" customWidth="1"/>
    <col min="3" max="3" width="4" style="19" customWidth="1"/>
    <col min="4" max="4" width="7.140625" style="19" bestFit="1" customWidth="1"/>
    <col min="5" max="5" width="33.28515625" style="19" bestFit="1" customWidth="1"/>
    <col min="6" max="6" width="7.140625" style="19" bestFit="1" customWidth="1"/>
    <col min="7" max="7" width="3.42578125" style="19" customWidth="1"/>
    <col min="8" max="8" width="7.140625" style="19" bestFit="1" customWidth="1"/>
    <col min="9" max="9" width="5.140625" style="19" customWidth="1"/>
    <col min="10" max="10" width="3.85546875" style="19" bestFit="1" customWidth="1"/>
    <col min="11" max="11" width="5.85546875" style="19" customWidth="1"/>
    <col min="12" max="13" width="7.85546875" style="19" bestFit="1" customWidth="1"/>
    <col min="14" max="14" width="6.140625" style="19" bestFit="1" customWidth="1"/>
    <col min="15" max="15" width="8.140625" style="19" customWidth="1"/>
    <col min="16" max="16" width="4.5703125" style="19" customWidth="1"/>
    <col min="17" max="18" width="4.42578125" style="19" customWidth="1"/>
    <col min="19" max="19" width="5" style="19" customWidth="1"/>
    <col min="20" max="20" width="28" style="19" customWidth="1"/>
    <col min="21" max="21" width="7.140625" style="40" bestFit="1" customWidth="1"/>
    <col min="22" max="22" width="33.42578125" style="40" bestFit="1" customWidth="1"/>
    <col min="23" max="23" width="3.28515625" style="40" bestFit="1" customWidth="1"/>
    <col min="24" max="24" width="3.5703125" style="40" bestFit="1" customWidth="1"/>
    <col min="25" max="25" width="12.7109375" style="40" bestFit="1" customWidth="1"/>
    <col min="26" max="26" width="6.7109375" style="40" bestFit="1" customWidth="1"/>
    <col min="27" max="27" width="3.28515625" style="40" bestFit="1" customWidth="1"/>
    <col min="28" max="28" width="3.7109375" style="40" bestFit="1" customWidth="1"/>
    <col min="29" max="30" width="5.85546875" style="40" bestFit="1" customWidth="1"/>
    <col min="31" max="31" width="6.28515625" style="40" bestFit="1" customWidth="1"/>
    <col min="32" max="32" width="10.7109375" style="40" bestFit="1" customWidth="1"/>
    <col min="33" max="33" width="18.5703125" style="40" bestFit="1" customWidth="1"/>
    <col min="34" max="34" width="18.42578125" style="40" bestFit="1" customWidth="1"/>
    <col min="35" max="35" width="10.85546875" style="40" bestFit="1" customWidth="1"/>
    <col min="36" max="38" width="9.140625" style="40"/>
    <col min="39" max="39" width="9.140625" style="142"/>
    <col min="40" max="16384" width="9.140625" style="19"/>
  </cols>
  <sheetData>
    <row r="13" spans="2:36" ht="15.75" thickBot="1"/>
    <row r="14" spans="2:36">
      <c r="B14" s="164" t="s">
        <v>39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6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</row>
    <row r="15" spans="2:36">
      <c r="B15" s="167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9"/>
      <c r="T15" s="40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</row>
    <row r="16" spans="2:36" ht="15" customHeight="1" thickBot="1">
      <c r="B16" s="170"/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  <c r="Q16" s="172"/>
      <c r="T16" s="40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</row>
    <row r="17" spans="2:39" s="43" customFormat="1" ht="15" customHeight="1" thickBot="1"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143"/>
    </row>
    <row r="18" spans="2:39" s="43" customFormat="1" ht="15" customHeight="1">
      <c r="B18" s="164" t="s">
        <v>199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  <c r="Q18" s="166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143"/>
    </row>
    <row r="19" spans="2:39" s="43" customFormat="1" ht="15" customHeight="1" thickBot="1">
      <c r="B19" s="170"/>
      <c r="C19" s="171"/>
      <c r="D19" s="171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1"/>
      <c r="P19" s="171"/>
      <c r="Q19" s="172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143"/>
    </row>
    <row r="20" spans="2:39" s="43" customFormat="1" ht="15" customHeight="1"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1" t="s">
        <v>5</v>
      </c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143"/>
    </row>
    <row r="21" spans="2:39" s="43" customFormat="1" ht="18" customHeight="1"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1" t="s">
        <v>14</v>
      </c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143"/>
    </row>
    <row r="22" spans="2:39" ht="16.5" customHeight="1"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1" t="s">
        <v>28</v>
      </c>
      <c r="T22" s="40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</row>
    <row r="23" spans="2:39" ht="19.5" customHeight="1"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1" t="s">
        <v>29</v>
      </c>
      <c r="S23" s="41"/>
      <c r="T23" s="40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</row>
    <row r="24" spans="2:39">
      <c r="R24" s="41" t="s">
        <v>30</v>
      </c>
      <c r="S24" s="41"/>
      <c r="T24" s="41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</row>
    <row r="25" spans="2:39" ht="15.75" thickBot="1">
      <c r="R25" s="41" t="s">
        <v>31</v>
      </c>
      <c r="S25" s="41"/>
      <c r="T25" s="41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</row>
    <row r="26" spans="2:39" ht="15" customHeight="1">
      <c r="D26" s="207" t="s">
        <v>156</v>
      </c>
      <c r="E26" s="208"/>
      <c r="F26" s="208"/>
      <c r="G26" s="208"/>
      <c r="H26" s="208"/>
      <c r="I26" s="208"/>
      <c r="J26" s="208"/>
      <c r="K26" s="208"/>
      <c r="L26" s="208"/>
      <c r="M26" s="208"/>
      <c r="N26" s="208"/>
      <c r="O26" s="209"/>
      <c r="Q26" s="41"/>
      <c r="R26" s="41" t="s">
        <v>32</v>
      </c>
      <c r="S26" s="41"/>
      <c r="T26" s="41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</row>
    <row r="27" spans="2:39" ht="15.75" customHeight="1" thickBot="1">
      <c r="D27" s="210"/>
      <c r="E27" s="211"/>
      <c r="F27" s="211"/>
      <c r="G27" s="211"/>
      <c r="H27" s="211"/>
      <c r="I27" s="211"/>
      <c r="J27" s="211"/>
      <c r="K27" s="211"/>
      <c r="L27" s="211"/>
      <c r="M27" s="211"/>
      <c r="N27" s="211"/>
      <c r="O27" s="212"/>
      <c r="Q27" s="41"/>
      <c r="R27" s="41" t="s">
        <v>33</v>
      </c>
      <c r="S27" s="41"/>
      <c r="T27" s="41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</row>
    <row r="28" spans="2:39" ht="15.75" thickBot="1">
      <c r="D28" s="1" t="s">
        <v>0</v>
      </c>
      <c r="E28" s="2" t="s">
        <v>1</v>
      </c>
      <c r="F28" s="2" t="s">
        <v>21</v>
      </c>
      <c r="G28" s="2" t="s">
        <v>2</v>
      </c>
      <c r="H28" s="2" t="s">
        <v>22</v>
      </c>
      <c r="I28" s="2" t="s">
        <v>23</v>
      </c>
      <c r="J28" s="2" t="s">
        <v>24</v>
      </c>
      <c r="K28" s="2" t="s">
        <v>25</v>
      </c>
      <c r="L28" s="2" t="s">
        <v>27</v>
      </c>
      <c r="M28" s="2" t="s">
        <v>3</v>
      </c>
      <c r="N28" s="2" t="s">
        <v>4</v>
      </c>
      <c r="O28" s="3" t="s">
        <v>26</v>
      </c>
      <c r="Q28" s="41"/>
      <c r="R28" s="41" t="s">
        <v>18</v>
      </c>
      <c r="S28" s="41"/>
      <c r="T28" s="41"/>
      <c r="U28" s="45" t="s">
        <v>0</v>
      </c>
      <c r="V28" s="45" t="s">
        <v>6</v>
      </c>
      <c r="W28" s="45" t="s">
        <v>21</v>
      </c>
      <c r="X28" s="45" t="s">
        <v>2</v>
      </c>
      <c r="Y28" s="45" t="s">
        <v>22</v>
      </c>
      <c r="Z28" s="45" t="s">
        <v>23</v>
      </c>
      <c r="AA28" s="45" t="s">
        <v>24</v>
      </c>
      <c r="AB28" s="45" t="s">
        <v>25</v>
      </c>
      <c r="AC28" s="45" t="s">
        <v>7</v>
      </c>
      <c r="AD28" s="45" t="s">
        <v>8</v>
      </c>
      <c r="AE28" s="45" t="s">
        <v>9</v>
      </c>
      <c r="AF28" s="45" t="s">
        <v>26</v>
      </c>
      <c r="AG28" s="45" t="s">
        <v>10</v>
      </c>
      <c r="AH28" s="45" t="s">
        <v>11</v>
      </c>
      <c r="AI28" s="45" t="s">
        <v>12</v>
      </c>
      <c r="AJ28" s="44"/>
      <c r="AK28" s="44"/>
    </row>
    <row r="29" spans="2:39" ht="15.75" thickBot="1">
      <c r="D29" s="13" t="s">
        <v>13</v>
      </c>
      <c r="E29" s="4" t="str">
        <f>VLOOKUP(AI29,$U$29:$AH$32,2)</f>
        <v>Futuro Natal</v>
      </c>
      <c r="F29" s="4">
        <f>VLOOKUP(AI29,$U$29:$AH$32,3)</f>
        <v>3</v>
      </c>
      <c r="G29" s="4">
        <f>VLOOKUP(AI29,$U$29:$AH$32,4)</f>
        <v>8</v>
      </c>
      <c r="H29" s="5">
        <f>VLOOKUP(AI29,$U$29:$AH$32,5)</f>
        <v>2</v>
      </c>
      <c r="I29" s="5">
        <f>VLOOKUP(AI29,$U$29:$AH$32,6)</f>
        <v>1</v>
      </c>
      <c r="J29" s="5">
        <f>VLOOKUP(AI29,$U$29:$AH$32,7)</f>
        <v>0</v>
      </c>
      <c r="K29" s="5">
        <f>VLOOKUP(AI29,$U$29:$AH$32,8)</f>
        <v>0</v>
      </c>
      <c r="L29" s="5">
        <f>VLOOKUP(AI29,$U$29:$AH$32,9)</f>
        <v>160</v>
      </c>
      <c r="M29" s="5">
        <f>VLOOKUP(AI29,$U$29:$AH$32,10)</f>
        <v>127</v>
      </c>
      <c r="N29" s="4">
        <f>VLOOKUP(AI29,$U$29:$AH$32,11)</f>
        <v>33</v>
      </c>
      <c r="O29" s="14">
        <f>VLOOKUP(AI29,$U$29:$AH$32,12)</f>
        <v>0.88888888888888884</v>
      </c>
      <c r="Q29" s="41"/>
      <c r="R29" s="41" t="s">
        <v>34</v>
      </c>
      <c r="S29" s="41"/>
      <c r="T29" s="41"/>
      <c r="U29" s="45">
        <v>1</v>
      </c>
      <c r="V29" s="44" t="str">
        <f>IF(OR('1ª fase'!K26="",'1ª fase'!M26=""),"VENCEDOR J4",IF('1ª fase'!K26&gt;'1ª fase'!M26,'1ª fase'!C26,'1ª fase'!N26))</f>
        <v>AVANTIMS FC</v>
      </c>
      <c r="W29" s="90">
        <f>COUNT(H37,H44,H50)</f>
        <v>3</v>
      </c>
      <c r="X29" s="90">
        <f>SUM(Q37,Q44,Q50)</f>
        <v>4</v>
      </c>
      <c r="Y29" s="90">
        <f>SUM(COUNTIFS($C$37:$C$51,3,$D$37:$D$51,V29),COUNTIFS($I$37:$I$51,V29,$Q$37:$Q$51,3))</f>
        <v>1</v>
      </c>
      <c r="Z29" s="90">
        <f>SUM(COUNTIFS($C$37:$C$51,2,$D$37:$D$51,V29),COUNTIFS($I$37:$I$51,V29,$Q$37:$Q$51,2))</f>
        <v>0</v>
      </c>
      <c r="AA29" s="90">
        <f>SUM(COUNTIFS($C$37:$C$51,1,$D$37:$D$51,V29),COUNTIFS($I$37:$I$51,V29,$Q$37:$Q$51,1))</f>
        <v>1</v>
      </c>
      <c r="AB29" s="90">
        <f>SUM(COUNTIFS($C$37:$C$51,0,$D$37:$D$51,V29),COUNTIFS($I$37:$I$51,V29,$Q$37:$Q$51,0))</f>
        <v>1</v>
      </c>
      <c r="AC29" s="120">
        <f>SUM(H37,H44,H50)</f>
        <v>135</v>
      </c>
      <c r="AD29" s="120">
        <f>SUM(F37,F44,F50)</f>
        <v>120</v>
      </c>
      <c r="AE29" s="120">
        <f>AC29-AD29</f>
        <v>15</v>
      </c>
      <c r="AF29" s="120">
        <f>IF(OR($F$37="",$H$37=""),0,(X29/(W29*3)))</f>
        <v>0.44444444444444442</v>
      </c>
      <c r="AG29" s="90">
        <f>(X29*10^10)+((AC29+5000)*10^6)+AE29*100+U29</f>
        <v>45135001501</v>
      </c>
      <c r="AH29" s="90">
        <f>LARGE($AG$29:$AG$32,U29)</f>
        <v>85160003302</v>
      </c>
      <c r="AI29" s="90">
        <f>MATCH(AH29,$AG$29:$AG$32,0)</f>
        <v>2</v>
      </c>
      <c r="AJ29" s="44"/>
      <c r="AK29" s="44"/>
    </row>
    <row r="30" spans="2:39" ht="15.75" thickBot="1">
      <c r="D30" s="11" t="s">
        <v>15</v>
      </c>
      <c r="E30" s="91" t="str">
        <f t="shared" ref="E30:E32" si="0">VLOOKUP(AI30,$U$29:$AH$32,2)</f>
        <v>AVANTIMS FC</v>
      </c>
      <c r="F30" s="91">
        <f t="shared" ref="F30:F32" si="1">VLOOKUP(AI30,$U$29:$AH$32,3)</f>
        <v>3</v>
      </c>
      <c r="G30" s="91">
        <f t="shared" ref="G30:G32" si="2">VLOOKUP(AI30,$U$29:$AH$32,4)</f>
        <v>4</v>
      </c>
      <c r="H30" s="92">
        <f t="shared" ref="H30:H32" si="3">VLOOKUP(AI30,$U$29:$AH$32,5)</f>
        <v>1</v>
      </c>
      <c r="I30" s="92">
        <f t="shared" ref="I30:I32" si="4">VLOOKUP(AI30,$U$29:$AH$32,6)</f>
        <v>0</v>
      </c>
      <c r="J30" s="92">
        <f t="shared" ref="J30:J32" si="5">VLOOKUP(AI30,$U$29:$AH$32,7)</f>
        <v>1</v>
      </c>
      <c r="K30" s="92">
        <f t="shared" ref="K30:K32" si="6">VLOOKUP(AI30,$U$29:$AH$32,8)</f>
        <v>1</v>
      </c>
      <c r="L30" s="92">
        <f t="shared" ref="L30:L32" si="7">VLOOKUP(AI30,$U$29:$AH$32,9)</f>
        <v>135</v>
      </c>
      <c r="M30" s="92">
        <f t="shared" ref="M30:M32" si="8">VLOOKUP(AI30,$U$29:$AH$32,10)</f>
        <v>120</v>
      </c>
      <c r="N30" s="91">
        <f t="shared" ref="N30:N32" si="9">VLOOKUP(AI30,$U$29:$AH$32,11)</f>
        <v>15</v>
      </c>
      <c r="O30" s="93">
        <f t="shared" ref="O30:O32" si="10">VLOOKUP(AI30,$U$29:$AH$32,12)</f>
        <v>0.44444444444444442</v>
      </c>
      <c r="Q30" s="41"/>
      <c r="R30" s="46"/>
      <c r="S30" s="41" t="s">
        <v>35</v>
      </c>
      <c r="T30" s="41"/>
      <c r="U30" s="45">
        <v>2</v>
      </c>
      <c r="V30" s="44" t="str">
        <f>IF(OR('1ª fase'!K25="",'1ª fase'!M25=""),"VENCEDOR J3",IF('1ª fase'!K25&gt;'1ª fase'!M25,'1ª fase'!C25,'1ª fase'!N25))</f>
        <v>Futuro Natal</v>
      </c>
      <c r="W30" s="90">
        <f>COUNT(H38,H43,F50)</f>
        <v>3</v>
      </c>
      <c r="X30" s="90">
        <f>SUM(Q38,Q43,C50)</f>
        <v>8</v>
      </c>
      <c r="Y30" s="90">
        <f>SUM(COUNTIFS($C$37:$C$51,3,$D$37:$D$51,V30),COUNTIFS($I$37:$I$51,V30,$Q$37:$Q$51,3))</f>
        <v>2</v>
      </c>
      <c r="Z30" s="90">
        <f>SUM(COUNTIFS($C$37:$C$51,2,$D$37:$D$51,V30),COUNTIFS($I$37:$I$51,V30,$Q$37:$Q$51,2))</f>
        <v>1</v>
      </c>
      <c r="AA30" s="90">
        <f>SUM(COUNTIFS($C$37:$C$51,1,$D$37:$D$51,V30),COUNTIFS($I$37:$I$51,V30,$Q$37:$Q$51,1))</f>
        <v>0</v>
      </c>
      <c r="AB30" s="90">
        <f>SUM(COUNTIFS($C$37:$C$51,0,$D$37:$D$51,V30),COUNTIFS($I$37:$I$51,V30,$Q$37:$Q$51,0))</f>
        <v>0</v>
      </c>
      <c r="AC30" s="120">
        <f>SUM(H38,H43,F50)</f>
        <v>160</v>
      </c>
      <c r="AD30" s="120">
        <f>SUM(H50,F43,F38)</f>
        <v>127</v>
      </c>
      <c r="AE30" s="120">
        <f t="shared" ref="AE30:AE32" si="11">AC30-AD30</f>
        <v>33</v>
      </c>
      <c r="AF30" s="120">
        <f t="shared" ref="AF30:AF32" si="12">IF(OR($F$37="",$H$37=""),0,(X30/(W30*3)))</f>
        <v>0.88888888888888884</v>
      </c>
      <c r="AG30" s="90">
        <f t="shared" ref="AG30:AG32" si="13">(X30*10^10)+((AC30+5000)*10^6)+AE30*100+U30</f>
        <v>85160003302</v>
      </c>
      <c r="AH30" s="90">
        <f>LARGE($AG$29:$AG$32,U30)</f>
        <v>45135001501</v>
      </c>
      <c r="AI30" s="90">
        <f>MATCH(AH30,$AG$29:$AG$32,0)</f>
        <v>1</v>
      </c>
      <c r="AJ30" s="44"/>
      <c r="AK30" s="44"/>
    </row>
    <row r="31" spans="2:39" ht="15.75" thickBot="1">
      <c r="D31" s="30" t="s">
        <v>16</v>
      </c>
      <c r="E31" s="31" t="str">
        <f t="shared" si="0"/>
        <v>tremembe city</v>
      </c>
      <c r="F31" s="31">
        <f t="shared" si="1"/>
        <v>3</v>
      </c>
      <c r="G31" s="31">
        <f t="shared" si="2"/>
        <v>4</v>
      </c>
      <c r="H31" s="32">
        <f t="shared" si="3"/>
        <v>1</v>
      </c>
      <c r="I31" s="32">
        <f t="shared" si="4"/>
        <v>0</v>
      </c>
      <c r="J31" s="32">
        <f t="shared" si="5"/>
        <v>1</v>
      </c>
      <c r="K31" s="32">
        <f t="shared" si="6"/>
        <v>1</v>
      </c>
      <c r="L31" s="32">
        <f t="shared" si="7"/>
        <v>109</v>
      </c>
      <c r="M31" s="32">
        <f t="shared" si="8"/>
        <v>107</v>
      </c>
      <c r="N31" s="31">
        <f t="shared" si="9"/>
        <v>2</v>
      </c>
      <c r="O31" s="33">
        <f t="shared" si="10"/>
        <v>0.44444444444444442</v>
      </c>
      <c r="Q31" s="41"/>
      <c r="R31" s="47"/>
      <c r="S31" s="19" t="s">
        <v>38</v>
      </c>
      <c r="T31" s="41"/>
      <c r="U31" s="45">
        <v>3</v>
      </c>
      <c r="V31" s="44" t="str">
        <f>IF(OR('1ª fase'!K24="",'1ª fase'!M24=""),"VENCEDOR J2",IF('1ª fase'!K24&gt;'1ª fase'!M24,'1ª fase'!C24,'1ª fase'!N24))</f>
        <v>tremembe city</v>
      </c>
      <c r="W31" s="90">
        <f>COUNT(H49,F44,F38)</f>
        <v>3</v>
      </c>
      <c r="X31" s="90">
        <f>SUM(C38,C44,Q49)</f>
        <v>4</v>
      </c>
      <c r="Y31" s="90">
        <f>SUM(COUNTIFS($C$37:$C$51,3,$D$37:$D$51,V31),COUNTIFS($I$37:$I$51,V31,$Q$37:$Q$51,3))</f>
        <v>1</v>
      </c>
      <c r="Z31" s="90">
        <f>SUM(COUNTIFS($C$37:$C$51,2,$D$37:$D$51,V31),COUNTIFS($I$37:$I$51,V31,$Q$37:$Q$51,2))</f>
        <v>0</v>
      </c>
      <c r="AA31" s="90">
        <f>SUM(COUNTIFS($C$37:$C$51,1,$D$37:$D$51,V31),COUNTIFS($I$37:$I$51,V31,$Q$37:$Q$51,1))</f>
        <v>1</v>
      </c>
      <c r="AB31" s="90">
        <f>SUM(COUNTIFS($C$37:$C$51,0,$D$37:$D$51,V31),COUNTIFS($I$37:$I$51,V31,$Q$37:$Q$51,0))</f>
        <v>1</v>
      </c>
      <c r="AC31" s="120">
        <f>SUM(,H49,F44,F38)</f>
        <v>109</v>
      </c>
      <c r="AD31" s="120">
        <f>SUM(H38,H44,F49)</f>
        <v>107</v>
      </c>
      <c r="AE31" s="120">
        <f t="shared" si="11"/>
        <v>2</v>
      </c>
      <c r="AF31" s="120">
        <f t="shared" si="12"/>
        <v>0.44444444444444442</v>
      </c>
      <c r="AG31" s="90">
        <f t="shared" si="13"/>
        <v>45109000203</v>
      </c>
      <c r="AH31" s="90">
        <f t="shared" ref="AH31:AH32" si="14">LARGE($AG$29:$AG$32,U31)</f>
        <v>45109000203</v>
      </c>
      <c r="AI31" s="90">
        <f>MATCH(AH31,$AG$29:$AG$32,0)</f>
        <v>3</v>
      </c>
      <c r="AJ31" s="44"/>
      <c r="AK31" s="44"/>
    </row>
    <row r="32" spans="2:39" ht="15.75" thickBot="1">
      <c r="D32" s="12" t="s">
        <v>17</v>
      </c>
      <c r="E32" s="6" t="str">
        <f t="shared" si="0"/>
        <v>StronderTiguer</v>
      </c>
      <c r="F32" s="6">
        <f t="shared" si="1"/>
        <v>3</v>
      </c>
      <c r="G32" s="6">
        <f t="shared" si="2"/>
        <v>0</v>
      </c>
      <c r="H32" s="7">
        <f t="shared" si="3"/>
        <v>0</v>
      </c>
      <c r="I32" s="7">
        <f t="shared" si="4"/>
        <v>0</v>
      </c>
      <c r="J32" s="7">
        <f t="shared" si="5"/>
        <v>0</v>
      </c>
      <c r="K32" s="7">
        <f t="shared" si="6"/>
        <v>3</v>
      </c>
      <c r="L32" s="7">
        <f t="shared" si="7"/>
        <v>95</v>
      </c>
      <c r="M32" s="7">
        <f t="shared" si="8"/>
        <v>145</v>
      </c>
      <c r="N32" s="6">
        <f t="shared" si="9"/>
        <v>-50</v>
      </c>
      <c r="O32" s="15">
        <f t="shared" si="10"/>
        <v>0</v>
      </c>
      <c r="Q32" s="41"/>
      <c r="R32" s="48"/>
      <c r="S32" s="41" t="s">
        <v>37</v>
      </c>
      <c r="T32" s="41"/>
      <c r="U32" s="45">
        <v>4</v>
      </c>
      <c r="V32" s="44" t="str">
        <f>IF(OR('1ª fase'!K23="",'1ª fase'!M23=""),"VENCEDOR J1",IF('1ª fase'!K23&gt;'1ª fase'!M23,'1ª fase'!C23,'1ª fase'!N23))</f>
        <v>StronderTiguer</v>
      </c>
      <c r="W32" s="90">
        <f>COUNT(F37,F43,F49)</f>
        <v>3</v>
      </c>
      <c r="X32" s="90">
        <f>SUM(C37,C43,C49)</f>
        <v>0</v>
      </c>
      <c r="Y32" s="90">
        <f>SUM(COUNTIFS($C$37:$C$51,3,$D$37:$D$51,V32),COUNTIFS($I$37:$I$51,V32,$Q$37:$Q$51,3))</f>
        <v>0</v>
      </c>
      <c r="Z32" s="90">
        <f>SUM(COUNTIFS($C$37:$C$51,2,$D$37:$D$51,V32),COUNTIFS($I$37:$I$51,V32,$Q$37:$Q$51,2))</f>
        <v>0</v>
      </c>
      <c r="AA32" s="90">
        <f>SUM(COUNTIFS($C$37:$C$51,1,$D$37:$D$51,V32),COUNTIFS($I$37:$I$51,V32,$Q$37:$Q$51,1))</f>
        <v>0</v>
      </c>
      <c r="AB32" s="90">
        <f>SUM(COUNTIFS($C$37:$C$51,0,$D$37:$D$51,V32),COUNTIFS($I$37:$I$51,V32,$Q$37:$Q$51,0))</f>
        <v>3</v>
      </c>
      <c r="AC32" s="120">
        <f>SUM(F37,F43,F49)</f>
        <v>95</v>
      </c>
      <c r="AD32" s="120">
        <f>SUM(H49,H43,H37)</f>
        <v>145</v>
      </c>
      <c r="AE32" s="120">
        <f t="shared" si="11"/>
        <v>-50</v>
      </c>
      <c r="AF32" s="120">
        <f t="shared" si="12"/>
        <v>0</v>
      </c>
      <c r="AG32" s="90">
        <f t="shared" si="13"/>
        <v>5094995004</v>
      </c>
      <c r="AH32" s="90">
        <f t="shared" si="14"/>
        <v>5094995004</v>
      </c>
      <c r="AI32" s="90">
        <f>MATCH(AH32,$AG$29:$AG$32,0)</f>
        <v>4</v>
      </c>
      <c r="AJ32" s="44"/>
      <c r="AK32" s="44"/>
    </row>
    <row r="33" spans="3:37" ht="15.75" thickBot="1">
      <c r="Q33" s="41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</row>
    <row r="34" spans="3:37">
      <c r="D34" s="198" t="s">
        <v>160</v>
      </c>
      <c r="E34" s="199"/>
      <c r="F34" s="199"/>
      <c r="G34" s="199"/>
      <c r="H34" s="199"/>
      <c r="I34" s="199"/>
      <c r="J34" s="199"/>
      <c r="K34" s="199"/>
      <c r="L34" s="199"/>
      <c r="M34" s="199"/>
      <c r="N34" s="199"/>
      <c r="O34" s="199"/>
      <c r="P34" s="200"/>
      <c r="Q34" s="41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</row>
    <row r="35" spans="3:37" ht="15.75" thickBot="1">
      <c r="D35" s="204"/>
      <c r="E35" s="205"/>
      <c r="F35" s="205"/>
      <c r="G35" s="205"/>
      <c r="H35" s="205"/>
      <c r="I35" s="205"/>
      <c r="J35" s="205"/>
      <c r="K35" s="205"/>
      <c r="L35" s="205"/>
      <c r="M35" s="205"/>
      <c r="N35" s="205"/>
      <c r="O35" s="205"/>
      <c r="P35" s="206"/>
      <c r="Q35" s="41"/>
      <c r="T35" s="41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</row>
    <row r="36" spans="3:37">
      <c r="Q36" s="41"/>
      <c r="T36" s="41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</row>
    <row r="37" spans="3:37">
      <c r="C37" s="40">
        <f>IF(OR(F37="",H37=""),"",IF(F37=H37,1,IF(F37&lt;H37,0,IF(F37-H37&lt;10,2,IF(F37&gt;H37,3,SE)))))</f>
        <v>0</v>
      </c>
      <c r="D37" s="197" t="str">
        <f>V32</f>
        <v>StronderTiguer</v>
      </c>
      <c r="E37" s="197"/>
      <c r="F37" s="140">
        <v>13</v>
      </c>
      <c r="G37" s="17" t="s">
        <v>19</v>
      </c>
      <c r="H37" s="141">
        <v>42</v>
      </c>
      <c r="I37" s="197" t="str">
        <f>V29</f>
        <v>AVANTIMS FC</v>
      </c>
      <c r="J37" s="197"/>
      <c r="K37" s="197"/>
      <c r="L37" s="197"/>
      <c r="M37" s="197"/>
      <c r="N37" s="197"/>
      <c r="O37" s="197"/>
      <c r="P37" s="197"/>
      <c r="Q37" s="40">
        <f>IF(OR(H37="",F37=""),"",IF(H37=F37,1,IF(H37&lt;F37,0,IF(H37-F37&lt;10,2,IF(H37&gt;F37,3,SE)))))</f>
        <v>3</v>
      </c>
      <c r="R37" s="41"/>
      <c r="S37" s="41"/>
      <c r="T37" s="41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</row>
    <row r="38" spans="3:37">
      <c r="C38" s="40">
        <f>IF(OR(F38="",H38=""),"",IF(F38=H38,1,IF(F38&lt;H38,0,IF(F38-H38&lt;10,2,IF(F38&gt;H38,3,SE)))))</f>
        <v>0</v>
      </c>
      <c r="D38" s="197" t="str">
        <f>V31</f>
        <v>tremembe city</v>
      </c>
      <c r="E38" s="197"/>
      <c r="F38" s="140">
        <v>25</v>
      </c>
      <c r="G38" s="17" t="s">
        <v>19</v>
      </c>
      <c r="H38" s="141">
        <v>34</v>
      </c>
      <c r="I38" s="197" t="str">
        <f>V30</f>
        <v>Futuro Natal</v>
      </c>
      <c r="J38" s="197"/>
      <c r="K38" s="197"/>
      <c r="L38" s="197"/>
      <c r="M38" s="197"/>
      <c r="N38" s="197"/>
      <c r="O38" s="197"/>
      <c r="P38" s="197"/>
      <c r="Q38" s="40">
        <f>IF(OR(H38="",F38=""),"",IF(H38=F38,1,IF(H38&lt;F38,0,IF(H38-F38&lt;10,2,IF(H38&gt;F38,3,SE)))))</f>
        <v>2</v>
      </c>
      <c r="U38" s="44" t="s">
        <v>20</v>
      </c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</row>
    <row r="39" spans="3:37" ht="15.75" thickBot="1">
      <c r="C39" s="40" t="str">
        <f>IF(OR(F39="",H39=""),"",IF(F39=H39,1,IF(F39&lt;H39,0,IF(F39-H39&lt;10,2,IF(F39&gt;H39,3,SE)))))</f>
        <v/>
      </c>
      <c r="Q39" s="40" t="str">
        <f>IF(OR(H39="",F39=""),"",IF(H39=F39,1,IF(H39&lt;F39,0,IF(H39-F39&lt;10,2,IF(H39&gt;F39,3,SE)))))</f>
        <v/>
      </c>
      <c r="R39" s="41"/>
      <c r="S39" s="41"/>
      <c r="T39" s="41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</row>
    <row r="40" spans="3:37">
      <c r="C40" s="40" t="str">
        <f>IF(OR(F40="",H40=""),"",IF(F40=H40,1,IF(F40&lt;H40,0,IF(F40-H40&lt;10,2,IF(F40&gt;H40,3,SE)))))</f>
        <v/>
      </c>
      <c r="D40" s="207" t="s">
        <v>161</v>
      </c>
      <c r="E40" s="208"/>
      <c r="F40" s="208"/>
      <c r="G40" s="208"/>
      <c r="H40" s="208"/>
      <c r="I40" s="208"/>
      <c r="J40" s="208"/>
      <c r="K40" s="208"/>
      <c r="L40" s="208"/>
      <c r="M40" s="208"/>
      <c r="N40" s="208"/>
      <c r="O40" s="208"/>
      <c r="P40" s="209"/>
      <c r="Q40" s="40" t="str">
        <f>IF(OR(H40="",F40=""),"",IF(H40=F40,1,IF(H40&lt;F40,0,IF(H40-F40&lt;10,2,IF(H40&gt;F40,3,SE)))))</f>
        <v/>
      </c>
      <c r="R40" s="41"/>
      <c r="S40" s="41"/>
      <c r="T40" s="41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</row>
    <row r="41" spans="3:37" ht="15.75" thickBot="1">
      <c r="C41" s="40" t="str">
        <f>IF(OR(F41="",H41=""),"",IF(F41=H41,1,IF(F41&lt;H41,0,IF(F41-H41&lt;10,2,IF(F41&gt;H41,3,SE)))))</f>
        <v/>
      </c>
      <c r="D41" s="210"/>
      <c r="E41" s="211"/>
      <c r="F41" s="211"/>
      <c r="G41" s="211"/>
      <c r="H41" s="211"/>
      <c r="I41" s="211"/>
      <c r="J41" s="211"/>
      <c r="K41" s="211"/>
      <c r="L41" s="211"/>
      <c r="M41" s="211"/>
      <c r="N41" s="211"/>
      <c r="O41" s="211"/>
      <c r="P41" s="212"/>
      <c r="Q41" s="40" t="str">
        <f>IF(OR(H41="",F41=""),"",IF(H41=F41,1,IF(H41&lt;F41,0,IF(H41-F41&lt;10,2,IF(H41&gt;F41,3,SE)))))</f>
        <v/>
      </c>
      <c r="R41" s="41"/>
      <c r="S41" s="41"/>
      <c r="T41" s="41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</row>
    <row r="42" spans="3:37">
      <c r="C42" s="40" t="str">
        <f>IF(OR(F42="",H42=""),"",IF(F42=H42,1,IF(F42&lt;H42,0,IF(F42-H42&lt;10,2,IF(F42&gt;H42,3,SE)))))</f>
        <v/>
      </c>
      <c r="Q42" s="40" t="str">
        <f>IF(OR(H42="",F42=""),"",IF(H42=F42,1,IF(H42&lt;F42,0,IF(H42-F42&lt;10,2,IF(H42&gt;F42,3,SE)))))</f>
        <v/>
      </c>
      <c r="R42" s="41"/>
      <c r="S42" s="41"/>
      <c r="T42" s="41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</row>
    <row r="43" spans="3:37">
      <c r="C43" s="40">
        <f>IF(OR(F43="",H43=""),"",IF(F43=H43,1,IF(F43&lt;H43,0,IF(F43-H43&lt;10,2,IF(F43&gt;H43,3,SE)))))</f>
        <v>0</v>
      </c>
      <c r="D43" s="197" t="str">
        <f>V32</f>
        <v>StronderTiguer</v>
      </c>
      <c r="E43" s="197"/>
      <c r="F43" s="140">
        <v>66</v>
      </c>
      <c r="G43" s="18" t="s">
        <v>19</v>
      </c>
      <c r="H43" s="141">
        <v>76</v>
      </c>
      <c r="I43" s="197" t="str">
        <f>V30</f>
        <v>Futuro Natal</v>
      </c>
      <c r="J43" s="197"/>
      <c r="K43" s="197"/>
      <c r="L43" s="197"/>
      <c r="M43" s="197"/>
      <c r="N43" s="197"/>
      <c r="O43" s="197"/>
      <c r="P43" s="197"/>
      <c r="Q43" s="40">
        <f>IF(OR(H43="",F43=""),"",IF(H43=F43,1,IF(H43&lt;F43,0,IF(H43-F43&lt;10,2,IF(H43&gt;F43,3,SE)))))</f>
        <v>3</v>
      </c>
      <c r="R43" s="41"/>
      <c r="S43" s="41"/>
      <c r="T43" s="41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</row>
    <row r="44" spans="3:37">
      <c r="C44" s="40">
        <f>IF(OR(F44="",H44=""),"",IF(F44=H44,1,IF(F44&lt;H44,0,IF(F44-H44&lt;10,2,IF(F44&gt;H44,3,SE)))))</f>
        <v>1</v>
      </c>
      <c r="D44" s="197" t="str">
        <f>V31</f>
        <v>tremembe city</v>
      </c>
      <c r="E44" s="197"/>
      <c r="F44" s="140">
        <v>57</v>
      </c>
      <c r="G44" s="18" t="s">
        <v>19</v>
      </c>
      <c r="H44" s="140">
        <v>57</v>
      </c>
      <c r="I44" s="197" t="str">
        <f>V29</f>
        <v>AVANTIMS FC</v>
      </c>
      <c r="J44" s="197"/>
      <c r="K44" s="197"/>
      <c r="L44" s="197"/>
      <c r="M44" s="197"/>
      <c r="N44" s="197"/>
      <c r="O44" s="197"/>
      <c r="P44" s="197"/>
      <c r="Q44" s="40">
        <f>IF(OR(H44="",F44=""),"",IF(H44=F44,1,IF(H44&lt;F44,0,IF(H44-F44&lt;10,2,IF(H44&gt;F44,3,SE)))))</f>
        <v>1</v>
      </c>
      <c r="R44" s="41"/>
      <c r="S44" s="41"/>
      <c r="T44" s="41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</row>
    <row r="45" spans="3:37" ht="15.75" thickBot="1">
      <c r="C45" s="40" t="str">
        <f>IF(OR(F45="",H45=""),"",IF(F45=H45,1,IF(F45&lt;H45,0,IF(F45-H45&lt;10,2,IF(F45&gt;H45,3,SE)))))</f>
        <v/>
      </c>
      <c r="F45" s="20"/>
      <c r="Q45" s="40" t="str">
        <f>IF(OR(H45="",F45=""),"",IF(H45=F45,1,IF(H45&lt;F45,0,IF(H45-F45&lt;10,2,IF(H45&gt;F45,3,SE)))))</f>
        <v/>
      </c>
      <c r="R45" s="41"/>
      <c r="S45" s="41"/>
      <c r="T45" s="41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</row>
    <row r="46" spans="3:37">
      <c r="C46" s="40" t="str">
        <f>IF(OR(F46="",H46=""),"",IF(F46=H46,1,IF(F46&lt;H46,0,IF(F46-H46&lt;10,2,IF(F46&gt;H46,3,SE)))))</f>
        <v/>
      </c>
      <c r="D46" s="207" t="s">
        <v>162</v>
      </c>
      <c r="E46" s="208"/>
      <c r="F46" s="208"/>
      <c r="G46" s="208"/>
      <c r="H46" s="208"/>
      <c r="I46" s="208"/>
      <c r="J46" s="208"/>
      <c r="K46" s="208"/>
      <c r="L46" s="208"/>
      <c r="M46" s="208"/>
      <c r="N46" s="208"/>
      <c r="O46" s="208"/>
      <c r="P46" s="209"/>
      <c r="Q46" s="40" t="str">
        <f>IF(OR(H46="",F46=""),"",IF(H46=F46,1,IF(H46&lt;F46,0,IF(H46-F46&lt;10,2,IF(H46&gt;F46,3,SE)))))</f>
        <v/>
      </c>
      <c r="R46" s="41"/>
      <c r="S46" s="41"/>
      <c r="T46" s="41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</row>
    <row r="47" spans="3:37" ht="15.75" thickBot="1">
      <c r="C47" s="40" t="str">
        <f>IF(OR(F47="",H47=""),"",IF(F47=H47,1,IF(F47&lt;H47,0,IF(F47-H47&lt;10,2,IF(F47&gt;H47,3,SE)))))</f>
        <v/>
      </c>
      <c r="D47" s="210"/>
      <c r="E47" s="211"/>
      <c r="F47" s="211"/>
      <c r="G47" s="211"/>
      <c r="H47" s="211"/>
      <c r="I47" s="211"/>
      <c r="J47" s="211"/>
      <c r="K47" s="211"/>
      <c r="L47" s="211"/>
      <c r="M47" s="211"/>
      <c r="N47" s="211"/>
      <c r="O47" s="211"/>
      <c r="P47" s="212"/>
      <c r="Q47" s="40" t="str">
        <f>IF(OR(H47="",F47=""),"",IF(H47=F47,1,IF(H47&lt;F47,0,IF(H47-F47&lt;10,2,IF(H47&gt;F47,3,SE)))))</f>
        <v/>
      </c>
      <c r="R47" s="41"/>
      <c r="S47" s="41"/>
      <c r="T47" s="41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</row>
    <row r="48" spans="3:37">
      <c r="C48" s="40" t="str">
        <f>IF(OR(F48="",H48=""),"",IF(F48=H48,1,IF(F48&lt;H48,0,IF(F48-H48&lt;10,2,IF(F48&gt;H48,3,SE)))))</f>
        <v/>
      </c>
      <c r="Q48" s="40" t="str">
        <f>IF(OR(H48="",F48=""),"",IF(H48=F48,1,IF(H48&lt;F48,0,IF(H48-F48&lt;10,2,IF(H48&gt;F48,3,SE)))))</f>
        <v/>
      </c>
      <c r="R48" s="41"/>
      <c r="S48" s="41"/>
      <c r="T48" s="41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</row>
    <row r="49" spans="3:37">
      <c r="C49" s="40">
        <f>IF(OR(F49="",H49=""),"",IF(F49=H49,1,IF(F49&lt;H49,0,IF(F49-H49&lt;10,2,IF(F49&gt;H49,3,SE)))))</f>
        <v>0</v>
      </c>
      <c r="D49" s="197" t="str">
        <f>V32</f>
        <v>StronderTiguer</v>
      </c>
      <c r="E49" s="197"/>
      <c r="F49" s="140">
        <v>16</v>
      </c>
      <c r="G49" s="18" t="s">
        <v>19</v>
      </c>
      <c r="H49" s="141">
        <v>27</v>
      </c>
      <c r="I49" s="197" t="str">
        <f>V31</f>
        <v>tremembe city</v>
      </c>
      <c r="J49" s="197"/>
      <c r="K49" s="197"/>
      <c r="L49" s="197"/>
      <c r="M49" s="197"/>
      <c r="N49" s="197"/>
      <c r="O49" s="197"/>
      <c r="P49" s="197"/>
      <c r="Q49" s="40">
        <f>IF(OR(H49="",F49=""),"",IF(H49=F49,1,IF(H49&lt;F49,0,IF(H49-F49&lt;10,2,IF(H49&gt;F49,3,SE)))))</f>
        <v>3</v>
      </c>
      <c r="R49" s="41"/>
      <c r="S49" s="41"/>
      <c r="T49" s="41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</row>
    <row r="50" spans="3:37">
      <c r="C50" s="40">
        <f>IF(OR(F50="",H50=""),"",IF(F50=H50,1,IF(F50&lt;H50,0,IF(F50-H50&lt;10,2,IF(F50&gt;H50,3,SE)))))</f>
        <v>3</v>
      </c>
      <c r="D50" s="197" t="str">
        <f>V30</f>
        <v>Futuro Natal</v>
      </c>
      <c r="E50" s="197"/>
      <c r="F50" s="141">
        <v>50</v>
      </c>
      <c r="G50" s="18" t="s">
        <v>19</v>
      </c>
      <c r="H50" s="140">
        <v>36</v>
      </c>
      <c r="I50" s="197" t="str">
        <f>V29</f>
        <v>AVANTIMS FC</v>
      </c>
      <c r="J50" s="197"/>
      <c r="K50" s="197"/>
      <c r="L50" s="197"/>
      <c r="M50" s="197"/>
      <c r="N50" s="197"/>
      <c r="O50" s="197"/>
      <c r="P50" s="197"/>
      <c r="Q50" s="40">
        <f>IF(OR(H50="",F50=""),"",IF(H50=F50,1,IF(H50&lt;F50,0,IF(H50-F50&lt;10,2,IF(H50&gt;F50,3,SE)))))</f>
        <v>0</v>
      </c>
      <c r="R50" s="41"/>
      <c r="S50" s="41"/>
      <c r="T50" s="41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</row>
    <row r="51" spans="3:37">
      <c r="C51" s="40" t="str">
        <f>IF(OR(F51="",H51=""),"",IF(F51=H51,1,IF(F51&lt;H51,0,IF(F51-H51&lt;10,2,IF(F51&gt;H51,3,SE)))))</f>
        <v/>
      </c>
      <c r="Q51" s="40" t="str">
        <f>IF(OR(H51="",F51=""),"",IF(H51=F51,1,IF(H51&lt;F51,0,IF(H51-F51&lt;10,2,IF(H51&gt;F51,3,SE)))))</f>
        <v/>
      </c>
      <c r="R51" s="41"/>
      <c r="S51" s="41"/>
      <c r="T51" s="41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</row>
    <row r="52" spans="3:37">
      <c r="C52" s="40" t="str">
        <f>IF(OR(F52="",H52=""),"",IF(F52=H52,1,IF(F52&lt;H52,0,IF(F52-H52&lt;10,2,IF(F52&gt;H52,3,SE)))))</f>
        <v/>
      </c>
      <c r="D52" s="21"/>
      <c r="E52" s="21"/>
      <c r="F52" s="22"/>
      <c r="G52" s="23"/>
      <c r="H52" s="22"/>
      <c r="I52" s="21"/>
      <c r="J52" s="21"/>
      <c r="K52" s="21"/>
      <c r="L52" s="21"/>
      <c r="M52" s="21"/>
      <c r="N52" s="21"/>
      <c r="O52" s="21"/>
      <c r="P52" s="21"/>
      <c r="Q52" s="40"/>
      <c r="R52" s="41" t="s">
        <v>5</v>
      </c>
      <c r="S52" s="43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</row>
    <row r="53" spans="3:37">
      <c r="C53" s="40" t="str">
        <f>IF(OR(F53="",H53=""),"",IF(F53=H53,1,IF(F53&lt;H53,0,IF(F53-H53&lt;10,2,IF(F53&gt;H53,3,SE)))))</f>
        <v/>
      </c>
      <c r="D53" s="21"/>
      <c r="E53" s="21"/>
      <c r="F53" s="22"/>
      <c r="G53" s="23"/>
      <c r="H53" s="22"/>
      <c r="I53" s="21"/>
      <c r="J53" s="21"/>
      <c r="K53" s="21"/>
      <c r="L53" s="21"/>
      <c r="M53" s="21"/>
      <c r="N53" s="21"/>
      <c r="O53" s="21"/>
      <c r="P53" s="21"/>
      <c r="Q53" s="40"/>
      <c r="R53" s="41" t="s">
        <v>14</v>
      </c>
      <c r="S53" s="43"/>
      <c r="T53" s="41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</row>
    <row r="54" spans="3:37">
      <c r="C54" s="40" t="str">
        <f>IF(OR(F54="",H54=""),"",IF(F54=H54,1,IF(F54&lt;H54,0,IF(F54-H54&lt;10,2,IF(F54&gt;H54,3,SE)))))</f>
        <v/>
      </c>
      <c r="D54" s="21"/>
      <c r="E54" s="21"/>
      <c r="F54" s="22"/>
      <c r="G54" s="23"/>
      <c r="H54" s="22"/>
      <c r="I54" s="21"/>
      <c r="J54" s="21"/>
      <c r="K54" s="21"/>
      <c r="L54" s="21"/>
      <c r="M54" s="21"/>
      <c r="N54" s="21"/>
      <c r="O54" s="21"/>
      <c r="P54" s="21"/>
      <c r="Q54" s="40"/>
      <c r="R54" s="41" t="s">
        <v>28</v>
      </c>
      <c r="T54" s="41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</row>
    <row r="55" spans="3:37">
      <c r="C55" s="40" t="str">
        <f>IF(OR(F55="",H55=""),"",IF(F55=H55,1,IF(F55&lt;H55,0,IF(F55-H55&lt;10,2,IF(F55&gt;H55,3,SE)))))</f>
        <v/>
      </c>
      <c r="D55" s="21"/>
      <c r="E55" s="21"/>
      <c r="F55" s="22"/>
      <c r="G55" s="23"/>
      <c r="H55" s="22"/>
      <c r="I55" s="21"/>
      <c r="J55" s="21"/>
      <c r="K55" s="21"/>
      <c r="L55" s="21"/>
      <c r="M55" s="21"/>
      <c r="N55" s="21"/>
      <c r="O55" s="21"/>
      <c r="P55" s="21"/>
      <c r="Q55" s="40"/>
      <c r="R55" s="41" t="s">
        <v>29</v>
      </c>
      <c r="S55" s="41"/>
      <c r="T55" s="41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</row>
    <row r="56" spans="3:37">
      <c r="C56" s="40" t="str">
        <f>IF(OR(F56="",H56=""),"",IF(F56=H56,1,IF(F56&lt;H56,0,IF(F56-H56&lt;10,2,IF(F56&gt;H56,3,SE)))))</f>
        <v/>
      </c>
      <c r="D56" s="21"/>
      <c r="E56" s="21"/>
      <c r="F56" s="22"/>
      <c r="G56" s="23"/>
      <c r="H56" s="22"/>
      <c r="I56" s="21"/>
      <c r="J56" s="21"/>
      <c r="K56" s="21"/>
      <c r="L56" s="21"/>
      <c r="M56" s="21"/>
      <c r="N56" s="21"/>
      <c r="O56" s="21"/>
      <c r="P56" s="21"/>
      <c r="Q56" s="40"/>
      <c r="R56" s="41" t="s">
        <v>30</v>
      </c>
      <c r="S56" s="41"/>
      <c r="T56" s="41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</row>
    <row r="57" spans="3:37" ht="15.75" thickBot="1">
      <c r="C57" s="40" t="str">
        <f>IF(OR(F57="",H57=""),"",IF(F57=H57,1,IF(F57&lt;H57,0,IF(F57-H57&lt;10,2,IF(F57&gt;H57,3,SE)))))</f>
        <v/>
      </c>
      <c r="Q57" s="40" t="str">
        <f>IF(OR(H57="",F57=""),"",IF(H57=F57,1,IF(H57&lt;F57,0,IF(H57-F57&lt;10,2,IF(H57&gt;F57,3,SE)))))</f>
        <v/>
      </c>
      <c r="R57" s="41" t="s">
        <v>31</v>
      </c>
      <c r="S57" s="41"/>
      <c r="T57" s="41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</row>
    <row r="58" spans="3:37" ht="15" customHeight="1">
      <c r="C58" s="40" t="str">
        <f>IF(OR(F58="",H58=""),"",IF(F58=H58,1,IF(F58&lt;H58,0,IF(F58-H58&lt;10,2,IF(F58&gt;H58,3,SE)))))</f>
        <v/>
      </c>
      <c r="D58" s="207" t="s">
        <v>157</v>
      </c>
      <c r="E58" s="208"/>
      <c r="F58" s="208"/>
      <c r="G58" s="208"/>
      <c r="H58" s="208"/>
      <c r="I58" s="208"/>
      <c r="J58" s="208"/>
      <c r="K58" s="208"/>
      <c r="L58" s="208"/>
      <c r="M58" s="208"/>
      <c r="N58" s="208"/>
      <c r="O58" s="209"/>
      <c r="Q58" s="40" t="str">
        <f>IF(OR(H58="",F58=""),"",IF(H58=F58,1,IF(H58&lt;F58,0,IF(H58-F58&lt;10,2,IF(H58&gt;F58,3,SE)))))</f>
        <v/>
      </c>
      <c r="R58" s="41" t="s">
        <v>32</v>
      </c>
      <c r="S58" s="41"/>
      <c r="T58" s="41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</row>
    <row r="59" spans="3:37" ht="15.75" customHeight="1" thickBot="1">
      <c r="C59" s="40" t="str">
        <f>IF(OR(F59="",H59=""),"",IF(F59=H59,1,IF(F59&lt;H59,0,IF(F59-H59&lt;10,2,IF(F59&gt;H59,3,SE)))))</f>
        <v/>
      </c>
      <c r="D59" s="210"/>
      <c r="E59" s="211"/>
      <c r="F59" s="211"/>
      <c r="G59" s="211"/>
      <c r="H59" s="211"/>
      <c r="I59" s="211"/>
      <c r="J59" s="211"/>
      <c r="K59" s="211"/>
      <c r="L59" s="211"/>
      <c r="M59" s="211"/>
      <c r="N59" s="211"/>
      <c r="O59" s="212"/>
      <c r="Q59" s="40" t="str">
        <f>IF(OR(H59="",F59=""),"",IF(H59=F59,1,IF(H59&lt;F59,0,IF(H59-F59&lt;10,2,IF(H59&gt;F59,3,SE)))))</f>
        <v/>
      </c>
      <c r="R59" s="41" t="s">
        <v>33</v>
      </c>
      <c r="S59" s="41"/>
      <c r="T59" s="41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</row>
    <row r="60" spans="3:37" ht="15.75" thickBot="1">
      <c r="C60" s="40">
        <f>IF(OR(F60="",H60=""),"",IF(F60=H60,1,IF(F60&lt;H60,0,IF(F60-H60&lt;10,2,IF(F60&gt;H60,3,SE)))))</f>
        <v>0</v>
      </c>
      <c r="D60" s="1" t="s">
        <v>0</v>
      </c>
      <c r="E60" s="2" t="s">
        <v>1</v>
      </c>
      <c r="F60" s="2" t="s">
        <v>21</v>
      </c>
      <c r="G60" s="2" t="s">
        <v>2</v>
      </c>
      <c r="H60" s="2" t="s">
        <v>22</v>
      </c>
      <c r="I60" s="2" t="s">
        <v>23</v>
      </c>
      <c r="J60" s="2" t="s">
        <v>24</v>
      </c>
      <c r="K60" s="2" t="s">
        <v>25</v>
      </c>
      <c r="L60" s="2" t="s">
        <v>27</v>
      </c>
      <c r="M60" s="2" t="s">
        <v>3</v>
      </c>
      <c r="N60" s="2" t="s">
        <v>4</v>
      </c>
      <c r="O60" s="3" t="s">
        <v>26</v>
      </c>
      <c r="Q60" s="40"/>
      <c r="R60" s="41" t="s">
        <v>18</v>
      </c>
      <c r="S60" s="41"/>
      <c r="T60" s="41"/>
      <c r="U60" s="45" t="s">
        <v>0</v>
      </c>
      <c r="V60" s="45" t="s">
        <v>6</v>
      </c>
      <c r="W60" s="45" t="s">
        <v>21</v>
      </c>
      <c r="X60" s="45" t="s">
        <v>2</v>
      </c>
      <c r="Y60" s="45" t="s">
        <v>22</v>
      </c>
      <c r="Z60" s="45" t="s">
        <v>23</v>
      </c>
      <c r="AA60" s="45" t="s">
        <v>24</v>
      </c>
      <c r="AB60" s="45" t="s">
        <v>25</v>
      </c>
      <c r="AC60" s="45" t="s">
        <v>7</v>
      </c>
      <c r="AD60" s="45" t="s">
        <v>8</v>
      </c>
      <c r="AE60" s="45" t="s">
        <v>9</v>
      </c>
      <c r="AF60" s="45" t="s">
        <v>26</v>
      </c>
      <c r="AG60" s="45" t="s">
        <v>10</v>
      </c>
      <c r="AH60" s="45" t="s">
        <v>11</v>
      </c>
      <c r="AI60" s="45" t="s">
        <v>12</v>
      </c>
      <c r="AJ60" s="44"/>
      <c r="AK60" s="44"/>
    </row>
    <row r="61" spans="3:37" ht="15.75" thickBot="1">
      <c r="C61" s="40">
        <f>IF(OR(F61="",H61=""),"",IF(F61=H61,1,IF(F61&lt;H61,0,IF(F61-H61&lt;10,2,IF(F61&gt;H61,3,SE)))))</f>
        <v>2</v>
      </c>
      <c r="D61" s="13" t="s">
        <v>13</v>
      </c>
      <c r="E61" s="4" t="str">
        <f>VLOOKUP(AI61,$U$61:$AH$64,2)</f>
        <v>Barbosinhaas</v>
      </c>
      <c r="F61" s="4">
        <f>VLOOKUP(AI61,$U$61:AH$64,3)</f>
        <v>3</v>
      </c>
      <c r="G61" s="4">
        <f>VLOOKUP(AI61,$U$61:AH$64,4)</f>
        <v>6</v>
      </c>
      <c r="H61" s="5">
        <f>VLOOKUP(AI61,$U$61:$AH$64,5)</f>
        <v>2</v>
      </c>
      <c r="I61" s="5">
        <f>VLOOKUP(AI61,$U$61:AH$64,6)</f>
        <v>0</v>
      </c>
      <c r="J61" s="5">
        <f>VLOOKUP(AI61,$U$61:$AH$64,7)</f>
        <v>0</v>
      </c>
      <c r="K61" s="5">
        <f>VLOOKUP(AI61,$U$61:$AH$64,8)</f>
        <v>1</v>
      </c>
      <c r="L61" s="5">
        <f>VLOOKUP(AI61,$U$61:$AH$64,9)</f>
        <v>151</v>
      </c>
      <c r="M61" s="5">
        <f>VLOOKUP(AI61,$U$61:$AH$64,10)</f>
        <v>134</v>
      </c>
      <c r="N61" s="4">
        <f>VLOOKUP(AI61,$U$61:$AH$64,11)</f>
        <v>17</v>
      </c>
      <c r="O61" s="14">
        <f>VLOOKUP(AI61,$U$61:$AH$64,12)</f>
        <v>0.66666666666666663</v>
      </c>
      <c r="Q61" s="40"/>
      <c r="R61" s="41" t="s">
        <v>34</v>
      </c>
      <c r="S61" s="41"/>
      <c r="T61" s="41"/>
      <c r="U61" s="45">
        <v>1</v>
      </c>
      <c r="V61" s="44" t="str">
        <f>IF(OR('1ª fase'!K30="",'1ª fase'!M30=""),"VENCEDOR J8",IF('1ª fase'!K30&gt;'1ª fase'!M30,'1ª fase'!C30,'1ª fase'!N30))</f>
        <v>Grajaú C.F.</v>
      </c>
      <c r="W61" s="44">
        <f>COUNT(H69,H76,H82)</f>
        <v>3</v>
      </c>
      <c r="X61" s="44">
        <f>SUM(Q69,Q76,Q82)</f>
        <v>3</v>
      </c>
      <c r="Y61" s="44">
        <f>SUM(COUNTIFS($C$69:$C$83,3,$D$69:$D$83,V61),COUNTIFS($I$69:$I$83,V61,$Q$69:$Q$83,3))</f>
        <v>1</v>
      </c>
      <c r="Z61" s="44">
        <f>SUM(COUNTIFS($C$69:$C$83,2,$D$69:$D$83,V61),COUNTIFS($I$69:$I$83,V61,$Q$69:$Q$83,2))</f>
        <v>0</v>
      </c>
      <c r="AA61" s="44">
        <f>SUM(COUNTIFS($C$69:$C$83,1,$D$69:$D$83,V61),COUNTIFS($I$69:$I$83,V61,$Q$69:$Q$83,1))</f>
        <v>0</v>
      </c>
      <c r="AB61" s="44">
        <f>SUM(COUNTIFS($C$69:$C$83,0,$D$69:$D$83,V61),COUNTIFS($I$69:$I$83,V61,$Q$69:$Q$83,0))</f>
        <v>2</v>
      </c>
      <c r="AC61" s="121">
        <f>SUM(H69,H76,H82)</f>
        <v>131</v>
      </c>
      <c r="AD61" s="121">
        <f>SUM(F69,F76,F82)</f>
        <v>151</v>
      </c>
      <c r="AE61" s="121">
        <f>AC61-AD61</f>
        <v>-20</v>
      </c>
      <c r="AF61" s="121">
        <f>IF(OR($F$69="",$H$69=""),0,(X61/(W61*3)))</f>
        <v>0.33333333333333331</v>
      </c>
      <c r="AG61" s="44">
        <f>(X61*10^15)+((AC61+5000)*10^6)+AE61*10+U61</f>
        <v>3000005130999801</v>
      </c>
      <c r="AH61" s="44">
        <f>LARGE($AG$61:$AG$64,U61)</f>
        <v>6000005151000172</v>
      </c>
      <c r="AI61" s="90">
        <f>MATCH(AH61,$AG$61:$AG$64,0)</f>
        <v>2</v>
      </c>
      <c r="AJ61" s="44"/>
      <c r="AK61" s="44"/>
    </row>
    <row r="62" spans="3:37" ht="15.75" thickBot="1">
      <c r="C62" s="40">
        <f>IF(OR(F62="",H62=""),"",IF(F62=H62,1,IF(F62&lt;H62,0,IF(F62-H62&lt;10,2,IF(F62&gt;H62,3,SE)))))</f>
        <v>2</v>
      </c>
      <c r="D62" s="11" t="s">
        <v>15</v>
      </c>
      <c r="E62" s="91" t="str">
        <f t="shared" ref="E62:E64" si="15">VLOOKUP(AI62,$U$61:$AH$64,2)</f>
        <v>UBDC FC</v>
      </c>
      <c r="F62" s="91">
        <f>VLOOKUP(AI62,$U$61:AH$64,3)</f>
        <v>3</v>
      </c>
      <c r="G62" s="91">
        <f>VLOOKUP(AI62,$U$61:AH$64,4)</f>
        <v>5</v>
      </c>
      <c r="H62" s="92">
        <f t="shared" ref="H62:H64" si="16">VLOOKUP(AI62,$U$61:$AH$64,5)</f>
        <v>1</v>
      </c>
      <c r="I62" s="92">
        <f>VLOOKUP(AI62,$U$61:AH$64,6)</f>
        <v>1</v>
      </c>
      <c r="J62" s="92">
        <f t="shared" ref="J62:J64" si="17">VLOOKUP(AI62,$U$61:$AH$64,7)</f>
        <v>0</v>
      </c>
      <c r="K62" s="92">
        <f t="shared" ref="K62:K64" si="18">VLOOKUP(AI62,$U$61:$AH$64,8)</f>
        <v>1</v>
      </c>
      <c r="L62" s="92">
        <f t="shared" ref="L62:L64" si="19">VLOOKUP(AI62,$U$61:$AH$64,9)</f>
        <v>158</v>
      </c>
      <c r="M62" s="92">
        <f t="shared" ref="M62:M64" si="20">VLOOKUP(AI62,$U$61:$AH$64,10)</f>
        <v>136</v>
      </c>
      <c r="N62" s="91">
        <f t="shared" ref="N62:N64" si="21">VLOOKUP(AI62,$U$61:$AH$64,11)</f>
        <v>22</v>
      </c>
      <c r="O62" s="93">
        <f t="shared" ref="O62:O64" si="22">VLOOKUP(AI62,$U$61:$AH$64,12)</f>
        <v>0.55555555555555558</v>
      </c>
      <c r="Q62" s="40"/>
      <c r="R62" s="46"/>
      <c r="S62" s="41" t="s">
        <v>35</v>
      </c>
      <c r="T62" s="41"/>
      <c r="U62" s="45">
        <v>2</v>
      </c>
      <c r="V62" s="44" t="str">
        <f>IF(OR('1ª fase'!K29="",'1ª fase'!M29=""),"VENCEDOR J7",IF('1ª fase'!K29&gt;'1ª fase'!M29,'1ª fase'!C29,'1ª fase'!N29))</f>
        <v>Barbosinhaas</v>
      </c>
      <c r="W62" s="44">
        <f>COUNT(H70,H75,F82)</f>
        <v>3</v>
      </c>
      <c r="X62" s="44">
        <f>SUM(Q70,Q75,C82)</f>
        <v>6</v>
      </c>
      <c r="Y62" s="44">
        <f>SUM(COUNTIFS($C$69:$C$83,3,$D$69:$D$83,V62),COUNTIFS($I$69:$I$83,V62,$Q$69:$Q$83,3))</f>
        <v>2</v>
      </c>
      <c r="Z62" s="44">
        <f>SUM(COUNTIFS($C$69:$C$83,2,$D$69:$D$83,V62),COUNTIFS($I$69:$I$83,V62,$Q$69:$Q$83,2))</f>
        <v>0</v>
      </c>
      <c r="AA62" s="44">
        <f>SUM(COUNTIFS($C$69:$C$83,1,$D$69:$D$83,V62),COUNTIFS($I$69:$I$83,V62,$Q$69:$Q$83,1))</f>
        <v>0</v>
      </c>
      <c r="AB62" s="44">
        <f>SUM(COUNTIFS($C$69:$C$83,0,$D$69:$D$83,V62),COUNTIFS($I$69:$I$83,V62,$Q$69:$Q$83,0))</f>
        <v>1</v>
      </c>
      <c r="AC62" s="121">
        <f>SUM(H70,H75,F82)</f>
        <v>151</v>
      </c>
      <c r="AD62" s="121">
        <f>SUM(H82,F75,F70)</f>
        <v>134</v>
      </c>
      <c r="AE62" s="121">
        <f t="shared" ref="AE62:AE64" si="23">AC62-AD62</f>
        <v>17</v>
      </c>
      <c r="AF62" s="121">
        <f t="shared" ref="AF62:AF64" si="24">IF(OR($F$69="",$H$69=""),0,(X62/(W62*3)))</f>
        <v>0.66666666666666663</v>
      </c>
      <c r="AG62" s="44">
        <f t="shared" ref="AG62:AG64" si="25">(X62*10^15)+((AC62+5000)*10^6)+AE62*10+U62</f>
        <v>6000005151000172</v>
      </c>
      <c r="AH62" s="44">
        <f t="shared" ref="AH62:AH64" si="26">LARGE($AG$61:$AG$64,U62)</f>
        <v>5000005158000223</v>
      </c>
      <c r="AI62" s="90">
        <f t="shared" ref="AI62:AI64" si="27">MATCH(AH62,$AG$61:$AG$64,0)</f>
        <v>3</v>
      </c>
      <c r="AJ62" s="44"/>
      <c r="AK62" s="44"/>
    </row>
    <row r="63" spans="3:37" ht="15.75" thickBot="1">
      <c r="C63" s="40">
        <f>IF(OR(F63="",H63=""),"",IF(F63=H63,1,IF(F63&lt;H63,0,IF(F63-H63&lt;10,2,IF(F63&gt;H63,3,SE)))))</f>
        <v>2</v>
      </c>
      <c r="D63" s="30" t="s">
        <v>16</v>
      </c>
      <c r="E63" s="31" t="str">
        <f t="shared" si="15"/>
        <v>Grajaú C.F.</v>
      </c>
      <c r="F63" s="31">
        <f>VLOOKUP(AI63,$U$61:AH$64,3)</f>
        <v>3</v>
      </c>
      <c r="G63" s="31">
        <f>VLOOKUP(AI63,$U$61:AH$64,4)</f>
        <v>3</v>
      </c>
      <c r="H63" s="32">
        <f t="shared" si="16"/>
        <v>1</v>
      </c>
      <c r="I63" s="32">
        <f>VLOOKUP(AI63,$U$61:AH$64,6)</f>
        <v>0</v>
      </c>
      <c r="J63" s="32">
        <f t="shared" si="17"/>
        <v>0</v>
      </c>
      <c r="K63" s="32">
        <f t="shared" si="18"/>
        <v>2</v>
      </c>
      <c r="L63" s="32">
        <f t="shared" si="19"/>
        <v>131</v>
      </c>
      <c r="M63" s="32">
        <f t="shared" si="20"/>
        <v>151</v>
      </c>
      <c r="N63" s="31">
        <f t="shared" si="21"/>
        <v>-20</v>
      </c>
      <c r="O63" s="33">
        <f t="shared" si="22"/>
        <v>0.33333333333333331</v>
      </c>
      <c r="Q63" s="40"/>
      <c r="R63" s="47"/>
      <c r="S63" s="19" t="s">
        <v>38</v>
      </c>
      <c r="T63" s="41"/>
      <c r="U63" s="45">
        <v>3</v>
      </c>
      <c r="V63" s="44" t="str">
        <f>IF(OR('1ª fase'!K28="",'1ª fase'!M28=""),"VENCEDOR J6",IF('1ª fase'!K28&gt;'1ª fase'!M28,'1ª fase'!C28,'1ª fase'!N28))</f>
        <v>UBDC FC</v>
      </c>
      <c r="W63" s="44">
        <f>COUNT(H81,F76,F70)</f>
        <v>3</v>
      </c>
      <c r="X63" s="44">
        <f>SUM(C70,C76,Q81)</f>
        <v>5</v>
      </c>
      <c r="Y63" s="44">
        <f>SUM(COUNTIFS($C$69:$C$83,3,$D$69:$D$83,V63),COUNTIFS($I$69:$I$83,V63,$Q$69:$Q$83,3))</f>
        <v>1</v>
      </c>
      <c r="Z63" s="44">
        <f>SUM(COUNTIFS($C$69:$C$83,2,$D$69:$D$83,V63),COUNTIFS($I$69:$I$83,V63,$Q$69:$Q$83,2))</f>
        <v>1</v>
      </c>
      <c r="AA63" s="44">
        <f>SUM(COUNTIFS($C$69:$C$83,1,$D$69:$D$83,V63),COUNTIFS($I$69:$I$83,V63,$Q$69:$Q$83,1))</f>
        <v>0</v>
      </c>
      <c r="AB63" s="44">
        <f>SUM(COUNTIFS($C$69:$C$83,0,$D$69:$D$83,V63),COUNTIFS($I$69:$I$83,V63,$Q$69:$Q$83,0))</f>
        <v>1</v>
      </c>
      <c r="AC63" s="121">
        <f>SUM(,H81,F76,F70)</f>
        <v>158</v>
      </c>
      <c r="AD63" s="121">
        <f>SUM(H70,H76,F81)</f>
        <v>136</v>
      </c>
      <c r="AE63" s="121">
        <f t="shared" si="23"/>
        <v>22</v>
      </c>
      <c r="AF63" s="121">
        <f t="shared" si="24"/>
        <v>0.55555555555555558</v>
      </c>
      <c r="AG63" s="44">
        <f t="shared" si="25"/>
        <v>5000005158000223</v>
      </c>
      <c r="AH63" s="44">
        <f t="shared" si="26"/>
        <v>3000005130999801</v>
      </c>
      <c r="AI63" s="90">
        <f t="shared" si="27"/>
        <v>1</v>
      </c>
      <c r="AJ63" s="44"/>
      <c r="AK63" s="44"/>
    </row>
    <row r="64" spans="3:37" ht="15.75" thickBot="1">
      <c r="C64" s="40">
        <f>IF(OR(F64="",H64=""),"",IF(F64=H64,1,IF(F64&lt;H64,0,IF(F64-H64&lt;10,2,IF(F64&gt;H64,3,SE)))))</f>
        <v>2</v>
      </c>
      <c r="D64" s="12" t="s">
        <v>17</v>
      </c>
      <c r="E64" s="6" t="str">
        <f t="shared" si="15"/>
        <v>Neo City Club</v>
      </c>
      <c r="F64" s="6">
        <f>VLOOKUP(AI64,$U$61:AH$64,3)</f>
        <v>3</v>
      </c>
      <c r="G64" s="6">
        <f>VLOOKUP(AI64,$U$61:AH$64,4)</f>
        <v>2</v>
      </c>
      <c r="H64" s="7">
        <f t="shared" si="16"/>
        <v>0</v>
      </c>
      <c r="I64" s="7">
        <f>VLOOKUP(AI64,$U$61:AH$64,6)</f>
        <v>1</v>
      </c>
      <c r="J64" s="7">
        <f t="shared" si="17"/>
        <v>0</v>
      </c>
      <c r="K64" s="7">
        <f t="shared" si="18"/>
        <v>2</v>
      </c>
      <c r="L64" s="7">
        <f t="shared" si="19"/>
        <v>136</v>
      </c>
      <c r="M64" s="7">
        <f t="shared" si="20"/>
        <v>155</v>
      </c>
      <c r="N64" s="6">
        <f t="shared" si="21"/>
        <v>-19</v>
      </c>
      <c r="O64" s="15">
        <f t="shared" si="22"/>
        <v>0.22222222222222221</v>
      </c>
      <c r="Q64" s="40"/>
      <c r="R64" s="48"/>
      <c r="S64" s="41" t="s">
        <v>37</v>
      </c>
      <c r="T64" s="41"/>
      <c r="U64" s="45">
        <v>4</v>
      </c>
      <c r="V64" s="44" t="str">
        <f>IF(OR('1ª fase'!K27="",'1ª fase'!M27=""),"VENCEDOR J5",IF('1ª fase'!K27&gt;'1ª fase'!M27,'1ª fase'!C27,'1ª fase'!N27))</f>
        <v>Neo City Club</v>
      </c>
      <c r="W64" s="44">
        <f>COUNT(F69,F75,F81)</f>
        <v>3</v>
      </c>
      <c r="X64" s="44">
        <f>SUM(C69,C75,C81)</f>
        <v>2</v>
      </c>
      <c r="Y64" s="44">
        <f>SUM(COUNTIFS($C$69:$C$83,3,$D$69:$D$83,V64),COUNTIFS($I$69:$I$83,V64,$Q$69:$Q$83,3))</f>
        <v>0</v>
      </c>
      <c r="Z64" s="44">
        <f>SUM(COUNTIFS($C$69:$C$83,2,$D$69:$D$83,V64),COUNTIFS($I$69:$I$83,V64,$Q$69:$Q$83,2))</f>
        <v>1</v>
      </c>
      <c r="AA64" s="44">
        <f>SUM(COUNTIFS($C$69:$C$83,1,$D$69:$D$83,V64),COUNTIFS($I$69:$I$83,V64,$Q$69:$Q$83,1))</f>
        <v>0</v>
      </c>
      <c r="AB64" s="44">
        <f>SUM(COUNTIFS($C$69:$C$83,0,$D$69:$D$83,V64),COUNTIFS($I$69:$I$83,V64,$Q$69:$Q$83,0))</f>
        <v>2</v>
      </c>
      <c r="AC64" s="121">
        <f>SUM(F69,F75,F81)</f>
        <v>136</v>
      </c>
      <c r="AD64" s="121">
        <f>SUM(H81,H75,H69)</f>
        <v>155</v>
      </c>
      <c r="AE64" s="121">
        <f t="shared" si="23"/>
        <v>-19</v>
      </c>
      <c r="AF64" s="121">
        <f t="shared" si="24"/>
        <v>0.22222222222222221</v>
      </c>
      <c r="AG64" s="44">
        <f t="shared" si="25"/>
        <v>2000005135999814</v>
      </c>
      <c r="AH64" s="44">
        <f t="shared" si="26"/>
        <v>2000005135999814</v>
      </c>
      <c r="AI64" s="90">
        <f t="shared" si="27"/>
        <v>4</v>
      </c>
      <c r="AJ64" s="44"/>
      <c r="AK64" s="44"/>
    </row>
    <row r="65" spans="3:37" ht="16.5" customHeight="1" thickBot="1">
      <c r="C65" s="40" t="str">
        <f>IF(OR(F65="",H65=""),"",IF(F65=H65,1,IF(F65&lt;H65,0,IF(F65-H65&lt;10,2,IF(F65&gt;H65,3,SE)))))</f>
        <v/>
      </c>
      <c r="Q65" s="40" t="str">
        <f>IF(OR(H65="",F65=""),"",IF(H65=F65,1,IF(H65&lt;F65,0,IF(H65-F65&lt;10,2,IF(H65&gt;F65,3,SE)))))</f>
        <v/>
      </c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</row>
    <row r="66" spans="3:37" ht="15" customHeight="1">
      <c r="C66" s="40" t="str">
        <f>IF(OR(F66="",H66=""),"",IF(F66=H66,1,IF(F66&lt;H66,0,IF(F66-H66&lt;10,2,IF(F66&gt;H66,3,SE)))))</f>
        <v/>
      </c>
      <c r="D66" s="198" t="s">
        <v>160</v>
      </c>
      <c r="E66" s="199"/>
      <c r="F66" s="199"/>
      <c r="G66" s="199"/>
      <c r="H66" s="199"/>
      <c r="I66" s="199"/>
      <c r="J66" s="199"/>
      <c r="K66" s="199"/>
      <c r="L66" s="199"/>
      <c r="M66" s="199"/>
      <c r="N66" s="199"/>
      <c r="O66" s="199"/>
      <c r="P66" s="200"/>
      <c r="Q66" s="40" t="str">
        <f>IF(OR(H66="",F66=""),"",IF(H66=F66,1,IF(H66&lt;F66,0,IF(H66-F66&lt;10,2,IF(H66&gt;F66,3,SE)))))</f>
        <v/>
      </c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</row>
    <row r="67" spans="3:37" ht="15.75" customHeight="1" thickBot="1">
      <c r="C67" s="40" t="str">
        <f>IF(OR(F67="",H67=""),"",IF(F67=H67,1,IF(F67&lt;H67,0,IF(F67-H67&lt;10,2,IF(F67&gt;H67,3,SE)))))</f>
        <v/>
      </c>
      <c r="D67" s="204"/>
      <c r="E67" s="205"/>
      <c r="F67" s="205"/>
      <c r="G67" s="205"/>
      <c r="H67" s="205"/>
      <c r="I67" s="205"/>
      <c r="J67" s="205"/>
      <c r="K67" s="205"/>
      <c r="L67" s="205"/>
      <c r="M67" s="205"/>
      <c r="N67" s="205"/>
      <c r="O67" s="205"/>
      <c r="P67" s="206"/>
      <c r="Q67" s="40" t="str">
        <f>IF(OR(H67="",F67=""),"",IF(H67=F67,1,IF(H67&lt;F67,0,IF(H67-F67&lt;10,2,IF(H67&gt;F67,3,SE)))))</f>
        <v/>
      </c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</row>
    <row r="68" spans="3:37">
      <c r="C68" s="40" t="str">
        <f>IF(OR(F68="",H68=""),"",IF(F68=H68,1,IF(F68&lt;H68,0,IF(F68-H68&lt;10,2,IF(F68&gt;H68,3,SE)))))</f>
        <v/>
      </c>
      <c r="Q68" s="40" t="str">
        <f>IF(OR(H68="",F68=""),"",IF(H68=F68,1,IF(H68&lt;F68,0,IF(H68-F68&lt;10,2,IF(H68&gt;F68,3,SE)))))</f>
        <v/>
      </c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</row>
    <row r="69" spans="3:37">
      <c r="C69" s="40">
        <f>IF(OR(F69="",H69=""),"",IF(F69=H69,1,IF(F69&lt;H69,0,IF(F69-H69&lt;10,2,IF(F69&gt;H69,3,SE)))))</f>
        <v>0</v>
      </c>
      <c r="D69" s="197" t="str">
        <f>V64</f>
        <v>Neo City Club</v>
      </c>
      <c r="E69" s="197"/>
      <c r="F69" s="140">
        <v>40</v>
      </c>
      <c r="G69" s="18" t="s">
        <v>19</v>
      </c>
      <c r="H69" s="141">
        <v>51</v>
      </c>
      <c r="I69" s="197" t="str">
        <f>V61</f>
        <v>Grajaú C.F.</v>
      </c>
      <c r="J69" s="197"/>
      <c r="K69" s="197"/>
      <c r="L69" s="197"/>
      <c r="M69" s="197"/>
      <c r="N69" s="197"/>
      <c r="O69" s="197"/>
      <c r="P69" s="197"/>
      <c r="Q69" s="40">
        <f>IF(OR(H69="",F69=""),"",IF(H69=F69,1,IF(H69&lt;F69,0,IF(H69-F69&lt;10,2,IF(H69&gt;F69,3,SE)))))</f>
        <v>3</v>
      </c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</row>
    <row r="70" spans="3:37">
      <c r="C70" s="40">
        <f>IF(OR(F70="",H70=""),"",IF(F70=H70,1,IF(F70&lt;H70,0,IF(F70-H70&lt;10,2,IF(F70&gt;H70,3,SE)))))</f>
        <v>3</v>
      </c>
      <c r="D70" s="197" t="str">
        <f>V63</f>
        <v>UBDC FC</v>
      </c>
      <c r="E70" s="197"/>
      <c r="F70" s="141">
        <v>55</v>
      </c>
      <c r="G70" s="18" t="s">
        <v>19</v>
      </c>
      <c r="H70" s="140">
        <v>39</v>
      </c>
      <c r="I70" s="197" t="str">
        <f>V62</f>
        <v>Barbosinhaas</v>
      </c>
      <c r="J70" s="197"/>
      <c r="K70" s="197"/>
      <c r="L70" s="197"/>
      <c r="M70" s="197"/>
      <c r="N70" s="197"/>
      <c r="O70" s="197"/>
      <c r="P70" s="197"/>
      <c r="Q70" s="40">
        <f>IF(OR(H70="",F70=""),"",IF(H70=F70,1,IF(H70&lt;F70,0,IF(H70-F70&lt;10,2,IF(H70&gt;F70,3,SE)))))</f>
        <v>0</v>
      </c>
      <c r="R70" s="41"/>
      <c r="S70" s="41"/>
      <c r="T70" s="41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</row>
    <row r="71" spans="3:37" ht="15.75" thickBot="1">
      <c r="C71" s="40" t="str">
        <f>IF(OR(F71="",H71=""),"",IF(F71=H71,1,IF(F71&lt;H71,0,IF(F71-H71&lt;10,2,IF(F71&gt;H71,3,SE)))))</f>
        <v/>
      </c>
      <c r="Q71" s="40" t="str">
        <f>IF(OR(H71="",F71=""),"",IF(H71=F71,1,IF(H71&lt;F71,0,IF(H71-F71&lt;10,2,IF(H71&gt;F71,3,SE)))))</f>
        <v/>
      </c>
      <c r="R71" s="41"/>
      <c r="S71" s="41"/>
      <c r="T71" s="41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</row>
    <row r="72" spans="3:37" ht="15" customHeight="1">
      <c r="C72" s="40" t="str">
        <f>IF(OR(F72="",H72=""),"",IF(F72=H72,1,IF(F72&lt;H72,0,IF(F72-H72&lt;10,2,IF(F72&gt;H72,3,SE)))))</f>
        <v/>
      </c>
      <c r="D72" s="207" t="s">
        <v>161</v>
      </c>
      <c r="E72" s="208"/>
      <c r="F72" s="208"/>
      <c r="G72" s="208"/>
      <c r="H72" s="208"/>
      <c r="I72" s="208"/>
      <c r="J72" s="208"/>
      <c r="K72" s="208"/>
      <c r="L72" s="208"/>
      <c r="M72" s="208"/>
      <c r="N72" s="208"/>
      <c r="O72" s="208"/>
      <c r="P72" s="209"/>
      <c r="Q72" s="40" t="str">
        <f>IF(OR(H72="",F72=""),"",IF(H72=F72,1,IF(H72&lt;F72,0,IF(H72-F72&lt;10,2,IF(H72&gt;F72,3,SE)))))</f>
        <v/>
      </c>
      <c r="R72" s="41"/>
      <c r="S72" s="41"/>
      <c r="T72" s="41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</row>
    <row r="73" spans="3:37" ht="15.75" customHeight="1" thickBot="1">
      <c r="C73" s="40" t="str">
        <f>IF(OR(F73="",H73=""),"",IF(F73=H73,1,IF(F73&lt;H73,0,IF(F73-H73&lt;10,2,IF(F73&gt;H73,3,SE)))))</f>
        <v/>
      </c>
      <c r="D73" s="210"/>
      <c r="E73" s="211"/>
      <c r="F73" s="211"/>
      <c r="G73" s="211"/>
      <c r="H73" s="211"/>
      <c r="I73" s="211"/>
      <c r="J73" s="211"/>
      <c r="K73" s="211"/>
      <c r="L73" s="211"/>
      <c r="M73" s="211"/>
      <c r="N73" s="211"/>
      <c r="O73" s="211"/>
      <c r="P73" s="212"/>
      <c r="Q73" s="40" t="str">
        <f>IF(OR(H73="",F73=""),"",IF(H73=F73,1,IF(H73&lt;F73,0,IF(H73-F73&lt;10,2,IF(H73&gt;F73,3,SE)))))</f>
        <v/>
      </c>
      <c r="R73" s="41"/>
      <c r="S73" s="41"/>
      <c r="T73" s="41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</row>
    <row r="74" spans="3:37">
      <c r="C74" s="40" t="str">
        <f>IF(OR(F74="",H74=""),"",IF(F74=H74,1,IF(F74&lt;H74,0,IF(F74-H74&lt;10,2,IF(F74&gt;H74,3,SE)))))</f>
        <v/>
      </c>
      <c r="Q74" s="40" t="str">
        <f>IF(OR(H74="",F74=""),"",IF(H74=F74,1,IF(H74&lt;F74,0,IF(H74-F74&lt;10,2,IF(H74&gt;F74,3,SE)))))</f>
        <v/>
      </c>
      <c r="R74" s="41"/>
      <c r="S74" s="41"/>
      <c r="T74" s="41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</row>
    <row r="75" spans="3:37">
      <c r="C75" s="40">
        <f>IF(OR(F75="",H75=""),"",IF(F75=H75,1,IF(F75&lt;H75,0,IF(F75-H75&lt;10,2,IF(F75&gt;H75,3,SE)))))</f>
        <v>0</v>
      </c>
      <c r="D75" s="197" t="str">
        <f>V64</f>
        <v>Neo City Club</v>
      </c>
      <c r="E75" s="197"/>
      <c r="F75" s="140">
        <v>53</v>
      </c>
      <c r="G75" s="18" t="s">
        <v>19</v>
      </c>
      <c r="H75" s="141">
        <v>64</v>
      </c>
      <c r="I75" s="197" t="str">
        <f>V62</f>
        <v>Barbosinhaas</v>
      </c>
      <c r="J75" s="197"/>
      <c r="K75" s="197"/>
      <c r="L75" s="197"/>
      <c r="M75" s="197"/>
      <c r="N75" s="197"/>
      <c r="O75" s="197"/>
      <c r="P75" s="197"/>
      <c r="Q75" s="40">
        <f>IF(OR(H75="",F75=""),"",IF(H75=F75,1,IF(H75&lt;F75,0,IF(H75-F75&lt;10,2,IF(H75&gt;F75,3,SE)))))</f>
        <v>3</v>
      </c>
      <c r="R75" s="41"/>
      <c r="S75" s="41"/>
      <c r="T75" s="41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</row>
    <row r="76" spans="3:37">
      <c r="C76" s="40">
        <f>IF(OR(F76="",H76=""),"",IF(F76=H76,1,IF(F76&lt;H76,0,IF(F76-H76&lt;10,2,IF(F76&gt;H76,3,SE)))))</f>
        <v>2</v>
      </c>
      <c r="D76" s="197" t="str">
        <f>V63</f>
        <v>UBDC FC</v>
      </c>
      <c r="E76" s="197"/>
      <c r="F76" s="141">
        <v>63</v>
      </c>
      <c r="G76" s="18" t="s">
        <v>19</v>
      </c>
      <c r="H76" s="140">
        <v>54</v>
      </c>
      <c r="I76" s="197" t="str">
        <f>V61</f>
        <v>Grajaú C.F.</v>
      </c>
      <c r="J76" s="197"/>
      <c r="K76" s="197"/>
      <c r="L76" s="197"/>
      <c r="M76" s="197"/>
      <c r="N76" s="197"/>
      <c r="O76" s="197"/>
      <c r="P76" s="197"/>
      <c r="Q76" s="40">
        <f>IF(OR(H76="",F76=""),"",IF(H76=F76,1,IF(H76&lt;F76,0,IF(H76-F76&lt;10,2,IF(H76&gt;F76,3,SE)))))</f>
        <v>0</v>
      </c>
      <c r="R76" s="41"/>
      <c r="S76" s="41"/>
      <c r="T76" s="41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</row>
    <row r="77" spans="3:37" ht="15.75" thickBot="1">
      <c r="C77" s="40" t="str">
        <f>IF(OR(F77="",H77=""),"",IF(F77=H77,1,IF(F77&lt;H77,0,IF(F77-H77&lt;10,2,IF(F77&gt;H77,3,SE)))))</f>
        <v/>
      </c>
      <c r="F77" s="20"/>
      <c r="Q77" s="40" t="str">
        <f>IF(OR(H77="",F77=""),"",IF(H77=F77,1,IF(H77&lt;F77,0,IF(H77-F77&lt;10,2,IF(H77&gt;F77,3,SE)))))</f>
        <v/>
      </c>
      <c r="R77" s="41"/>
      <c r="S77" s="41"/>
      <c r="T77" s="41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</row>
    <row r="78" spans="3:37">
      <c r="C78" s="40" t="str">
        <f>IF(OR(F78="",H78=""),"",IF(F78=H78,1,IF(F78&lt;H78,0,IF(F78-H78&lt;10,2,IF(F78&gt;H78,3,SE)))))</f>
        <v/>
      </c>
      <c r="D78" s="207" t="s">
        <v>162</v>
      </c>
      <c r="E78" s="208"/>
      <c r="F78" s="208"/>
      <c r="G78" s="208"/>
      <c r="H78" s="208"/>
      <c r="I78" s="208"/>
      <c r="J78" s="208"/>
      <c r="K78" s="208"/>
      <c r="L78" s="208"/>
      <c r="M78" s="208"/>
      <c r="N78" s="208"/>
      <c r="O78" s="208"/>
      <c r="P78" s="209"/>
      <c r="Q78" s="40" t="str">
        <f>IF(OR(H78="",F78=""),"",IF(H78=F78,1,IF(H78&lt;F78,0,IF(H78-F78&lt;10,2,IF(H78&gt;F78,3,SE)))))</f>
        <v/>
      </c>
      <c r="R78" s="41"/>
      <c r="S78" s="41"/>
      <c r="T78" s="41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</row>
    <row r="79" spans="3:37" ht="15.75" thickBot="1">
      <c r="C79" s="40" t="str">
        <f>IF(OR(F79="",H79=""),"",IF(F79=H79,1,IF(F79&lt;H79,0,IF(F79-H79&lt;10,2,IF(F79&gt;H79,3,SE)))))</f>
        <v/>
      </c>
      <c r="D79" s="210"/>
      <c r="E79" s="211"/>
      <c r="F79" s="211"/>
      <c r="G79" s="211"/>
      <c r="H79" s="211"/>
      <c r="I79" s="211"/>
      <c r="J79" s="211"/>
      <c r="K79" s="211"/>
      <c r="L79" s="211"/>
      <c r="M79" s="211"/>
      <c r="N79" s="211"/>
      <c r="O79" s="211"/>
      <c r="P79" s="212"/>
      <c r="Q79" s="40" t="str">
        <f>IF(OR(H79="",F79=""),"",IF(H79=F79,1,IF(H79&lt;F79,0,IF(H79-F79&lt;10,2,IF(H79&gt;F79,3,SE)))))</f>
        <v/>
      </c>
      <c r="R79" s="41"/>
      <c r="S79" s="41"/>
      <c r="T79" s="41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</row>
    <row r="80" spans="3:37">
      <c r="C80" s="40" t="str">
        <f>IF(OR(F80="",H80=""),"",IF(F80=H80,1,IF(F80&lt;H80,0,IF(F80-H80&lt;10,2,IF(F80&gt;H80,3,SE)))))</f>
        <v/>
      </c>
      <c r="Q80" s="40" t="str">
        <f>IF(OR(H80="",F80=""),"",IF(H80=F80,1,IF(H80&lt;F80,0,IF(H80-F80&lt;10,2,IF(H80&gt;F80,3,SE)))))</f>
        <v/>
      </c>
      <c r="R80" s="41"/>
      <c r="S80" s="41"/>
      <c r="T80" s="41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</row>
    <row r="81" spans="3:37">
      <c r="C81" s="40">
        <f>IF(OR(F81="",H81=""),"",IF(F81=H81,1,IF(F81&lt;H81,0,IF(F81-H81&lt;10,2,IF(F81&gt;H81,3,SE)))))</f>
        <v>2</v>
      </c>
      <c r="D81" s="197" t="str">
        <f>V64</f>
        <v>Neo City Club</v>
      </c>
      <c r="E81" s="197"/>
      <c r="F81" s="141">
        <v>43</v>
      </c>
      <c r="G81" s="18" t="s">
        <v>19</v>
      </c>
      <c r="H81" s="140">
        <v>40</v>
      </c>
      <c r="I81" s="197" t="str">
        <f>V63</f>
        <v>UBDC FC</v>
      </c>
      <c r="J81" s="197"/>
      <c r="K81" s="197"/>
      <c r="L81" s="197"/>
      <c r="M81" s="197"/>
      <c r="N81" s="197"/>
      <c r="O81" s="197"/>
      <c r="P81" s="197"/>
      <c r="Q81" s="40">
        <f>IF(OR(H81="",F81=""),"",IF(H81=F81,1,IF(H81&lt;F81,0,IF(H81-F81&lt;10,2,IF(H81&gt;F81,3,SE)))))</f>
        <v>0</v>
      </c>
      <c r="R81" s="41"/>
      <c r="S81" s="41"/>
      <c r="T81" s="41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</row>
    <row r="82" spans="3:37">
      <c r="C82" s="40">
        <f>IF(OR(F82="",H82=""),"",IF(F82=H82,1,IF(F82&lt;H82,0,IF(F82-H82&lt;10,2,IF(F82&gt;H82,3,SE)))))</f>
        <v>3</v>
      </c>
      <c r="D82" s="197" t="str">
        <f>V62</f>
        <v>Barbosinhaas</v>
      </c>
      <c r="E82" s="197"/>
      <c r="F82" s="141">
        <v>48</v>
      </c>
      <c r="G82" s="18" t="s">
        <v>19</v>
      </c>
      <c r="H82" s="140">
        <v>26</v>
      </c>
      <c r="I82" s="197" t="str">
        <f>V61</f>
        <v>Grajaú C.F.</v>
      </c>
      <c r="J82" s="197"/>
      <c r="K82" s="197"/>
      <c r="L82" s="197"/>
      <c r="M82" s="197"/>
      <c r="N82" s="197"/>
      <c r="O82" s="197"/>
      <c r="P82" s="197"/>
      <c r="Q82" s="40">
        <f>IF(OR(H82="",F82=""),"",IF(H82=F82,1,IF(H82&lt;F82,0,IF(H82-F82&lt;10,2,IF(H82&gt;F82,3,SE)))))</f>
        <v>0</v>
      </c>
      <c r="R82" s="41"/>
      <c r="S82" s="41"/>
      <c r="T82" s="41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</row>
    <row r="83" spans="3:37">
      <c r="C83" s="40" t="str">
        <f>IF(OR(F83="",H83=""),"",IF(F83=H83,1,IF(F83&lt;H83,0,IF(F83-H83&lt;10,2,IF(F83&gt;H83,3,SE)))))</f>
        <v/>
      </c>
      <c r="Q83" s="40" t="str">
        <f>IF(OR(H83="",F83=""),"",IF(H83=F83,1,IF(H83&lt;F83,0,IF(H83-F83&lt;10,2,IF(H83&gt;F83,3,SE)))))</f>
        <v/>
      </c>
      <c r="R83" s="41"/>
      <c r="S83" s="41"/>
      <c r="T83" s="41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</row>
    <row r="84" spans="3:37">
      <c r="C84" s="40" t="str">
        <f>IF(OR(F84="",H84=""),"",IF(F84=H84,1,IF(F84&lt;H84,0,IF(F84-H84&lt;10,2,IF(F84&gt;H84,3,SE)))))</f>
        <v/>
      </c>
      <c r="D84" s="21"/>
      <c r="E84" s="21"/>
      <c r="F84" s="22"/>
      <c r="G84" s="23"/>
      <c r="H84" s="22"/>
      <c r="I84" s="21"/>
      <c r="J84" s="21"/>
      <c r="K84" s="21"/>
      <c r="L84" s="21"/>
      <c r="M84" s="21"/>
      <c r="N84" s="21"/>
      <c r="O84" s="21"/>
      <c r="P84" s="21"/>
      <c r="Q84" s="40"/>
      <c r="R84" s="41" t="s">
        <v>5</v>
      </c>
      <c r="S84" s="43"/>
      <c r="T84" s="41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</row>
    <row r="85" spans="3:37">
      <c r="C85" s="40" t="str">
        <f>IF(OR(F85="",H85=""),"",IF(F85=H85,1,IF(F85&lt;H85,0,IF(F85-H85&lt;10,2,IF(F85&gt;H85,3,SE)))))</f>
        <v/>
      </c>
      <c r="D85" s="21"/>
      <c r="E85" s="21"/>
      <c r="F85" s="22"/>
      <c r="G85" s="23"/>
      <c r="H85" s="22"/>
      <c r="I85" s="21"/>
      <c r="J85" s="21"/>
      <c r="K85" s="21"/>
      <c r="L85" s="21"/>
      <c r="M85" s="21"/>
      <c r="N85" s="21"/>
      <c r="O85" s="21"/>
      <c r="P85" s="21"/>
      <c r="Q85" s="40"/>
      <c r="R85" s="41" t="s">
        <v>14</v>
      </c>
      <c r="S85" s="43"/>
      <c r="T85" s="41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</row>
    <row r="86" spans="3:37">
      <c r="C86" s="40" t="str">
        <f>IF(OR(F86="",H86=""),"",IF(F86=H86,1,IF(F86&lt;H86,0,IF(F86-H86&lt;10,2,IF(F86&gt;H86,3,SE)))))</f>
        <v/>
      </c>
      <c r="D86" s="21"/>
      <c r="E86" s="21"/>
      <c r="F86" s="22"/>
      <c r="G86" s="23"/>
      <c r="H86" s="22"/>
      <c r="I86" s="21"/>
      <c r="J86" s="21"/>
      <c r="K86" s="21"/>
      <c r="L86" s="21"/>
      <c r="M86" s="21"/>
      <c r="N86" s="21"/>
      <c r="O86" s="21"/>
      <c r="P86" s="21"/>
      <c r="Q86" s="40"/>
      <c r="R86" s="41" t="s">
        <v>28</v>
      </c>
      <c r="T86" s="41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</row>
    <row r="87" spans="3:37">
      <c r="C87" s="40" t="str">
        <f>IF(OR(F87="",H87=""),"",IF(F87=H87,1,IF(F87&lt;H87,0,IF(F87-H87&lt;10,2,IF(F87&gt;H87,3,SE)))))</f>
        <v/>
      </c>
      <c r="D87" s="21"/>
      <c r="E87" s="21"/>
      <c r="F87" s="22"/>
      <c r="G87" s="23"/>
      <c r="H87" s="22"/>
      <c r="I87" s="21"/>
      <c r="J87" s="21"/>
      <c r="K87" s="21"/>
      <c r="L87" s="21"/>
      <c r="M87" s="21"/>
      <c r="N87" s="21"/>
      <c r="O87" s="21"/>
      <c r="P87" s="21"/>
      <c r="Q87" s="40"/>
      <c r="R87" s="41" t="s">
        <v>29</v>
      </c>
      <c r="S87" s="41"/>
      <c r="T87" s="41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</row>
    <row r="88" spans="3:37">
      <c r="C88" s="40" t="str">
        <f>IF(OR(F88="",H88=""),"",IF(F88=H88,1,IF(F88&lt;H88,0,IF(F88-H88&lt;10,2,IF(F88&gt;H88,3,SE)))))</f>
        <v/>
      </c>
      <c r="D88" s="21"/>
      <c r="E88" s="21"/>
      <c r="F88" s="22"/>
      <c r="G88" s="23"/>
      <c r="H88" s="22"/>
      <c r="I88" s="21"/>
      <c r="J88" s="21"/>
      <c r="K88" s="21"/>
      <c r="L88" s="21"/>
      <c r="M88" s="21"/>
      <c r="N88" s="21"/>
      <c r="O88" s="21"/>
      <c r="P88" s="21"/>
      <c r="Q88" s="40"/>
      <c r="R88" s="41" t="s">
        <v>30</v>
      </c>
      <c r="S88" s="41"/>
      <c r="T88" s="41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</row>
    <row r="89" spans="3:37" ht="15.75" thickBot="1">
      <c r="C89" s="40" t="str">
        <f>IF(OR(F89="",H89=""),"",IF(F89=H89,1,IF(F89&lt;H89,0,IF(F89-H89&lt;10,2,IF(F89&gt;H89,3,SE)))))</f>
        <v/>
      </c>
      <c r="Q89" s="40" t="str">
        <f>IF(OR(H89="",F89=""),"",IF(H89=F89,1,IF(H89&lt;F89,0,IF(H89-F89&lt;10,2,IF(H89&gt;F89,3,SE)))))</f>
        <v/>
      </c>
      <c r="R89" s="41" t="s">
        <v>31</v>
      </c>
      <c r="S89" s="41"/>
      <c r="T89" s="41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</row>
    <row r="90" spans="3:37" ht="15" customHeight="1">
      <c r="C90" s="40" t="str">
        <f>IF(OR(F90="",H90=""),"",IF(F90=H90,1,IF(F90&lt;H90,0,IF(F90-H90&lt;10,2,IF(F90&gt;H90,3,SE)))))</f>
        <v/>
      </c>
      <c r="D90" s="207" t="s">
        <v>158</v>
      </c>
      <c r="E90" s="208"/>
      <c r="F90" s="208"/>
      <c r="G90" s="208"/>
      <c r="H90" s="208"/>
      <c r="I90" s="208"/>
      <c r="J90" s="208"/>
      <c r="K90" s="208"/>
      <c r="L90" s="208"/>
      <c r="M90" s="208"/>
      <c r="N90" s="208"/>
      <c r="O90" s="209"/>
      <c r="Q90" s="40" t="str">
        <f>IF(OR(H90="",F90=""),"",IF(H90=F90,1,IF(H90&lt;F90,0,IF(H90-F90&lt;10,2,IF(H90&gt;F90,3,SE)))))</f>
        <v/>
      </c>
      <c r="R90" s="41" t="s">
        <v>32</v>
      </c>
      <c r="S90" s="41"/>
      <c r="T90" s="41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</row>
    <row r="91" spans="3:37" ht="15.75" customHeight="1" thickBot="1">
      <c r="C91" s="40" t="str">
        <f>IF(OR(F91="",H91=""),"",IF(F91=H91,1,IF(F91&lt;H91,0,IF(F91-H91&lt;10,2,IF(F91&gt;H91,3,SE)))))</f>
        <v/>
      </c>
      <c r="D91" s="210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2"/>
      <c r="Q91" s="40" t="str">
        <f>IF(OR(H91="",F91=""),"",IF(H91=F91,1,IF(H91&lt;F91,0,IF(H91-F91&lt;10,2,IF(H91&gt;F91,3,SE)))))</f>
        <v/>
      </c>
      <c r="R91" s="41" t="s">
        <v>33</v>
      </c>
      <c r="S91" s="41"/>
      <c r="T91" s="41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</row>
    <row r="92" spans="3:37" ht="15.75" thickBot="1">
      <c r="C92" s="40">
        <f>IF(OR(F92="",H92=""),"",IF(F92=H92,1,IF(F92&lt;H92,0,IF(F92-H92&lt;10,2,IF(F92&gt;H92,3,SE)))))</f>
        <v>0</v>
      </c>
      <c r="D92" s="1" t="s">
        <v>0</v>
      </c>
      <c r="E92" s="2" t="s">
        <v>1</v>
      </c>
      <c r="F92" s="2" t="s">
        <v>21</v>
      </c>
      <c r="G92" s="2" t="s">
        <v>2</v>
      </c>
      <c r="H92" s="2" t="s">
        <v>22</v>
      </c>
      <c r="I92" s="2" t="s">
        <v>23</v>
      </c>
      <c r="J92" s="2" t="s">
        <v>24</v>
      </c>
      <c r="K92" s="2" t="s">
        <v>25</v>
      </c>
      <c r="L92" s="2" t="s">
        <v>27</v>
      </c>
      <c r="M92" s="2" t="s">
        <v>3</v>
      </c>
      <c r="N92" s="2" t="s">
        <v>4</v>
      </c>
      <c r="O92" s="3" t="s">
        <v>26</v>
      </c>
      <c r="Q92" s="40"/>
      <c r="R92" s="41" t="s">
        <v>18</v>
      </c>
      <c r="S92" s="41"/>
      <c r="T92" s="41"/>
      <c r="U92" s="45" t="s">
        <v>0</v>
      </c>
      <c r="V92" s="45" t="s">
        <v>6</v>
      </c>
      <c r="W92" s="45" t="s">
        <v>21</v>
      </c>
      <c r="X92" s="45" t="s">
        <v>2</v>
      </c>
      <c r="Y92" s="45" t="s">
        <v>22</v>
      </c>
      <c r="Z92" s="45" t="s">
        <v>23</v>
      </c>
      <c r="AA92" s="45" t="s">
        <v>24</v>
      </c>
      <c r="AB92" s="45" t="s">
        <v>25</v>
      </c>
      <c r="AC92" s="45" t="s">
        <v>7</v>
      </c>
      <c r="AD92" s="45" t="s">
        <v>8</v>
      </c>
      <c r="AE92" s="45" t="s">
        <v>9</v>
      </c>
      <c r="AF92" s="45" t="s">
        <v>26</v>
      </c>
      <c r="AG92" s="45" t="s">
        <v>10</v>
      </c>
      <c r="AH92" s="45" t="s">
        <v>11</v>
      </c>
      <c r="AI92" s="45" t="s">
        <v>12</v>
      </c>
      <c r="AJ92" s="44"/>
      <c r="AK92" s="44"/>
    </row>
    <row r="93" spans="3:37" ht="15.75" thickBot="1">
      <c r="C93" s="40">
        <f>IF(OR(F93="",H93=""),"",IF(F93=H93,1,IF(F93&lt;H93,0,IF(F93-H93&lt;10,2,IF(F93&gt;H93,3,SE)))))</f>
        <v>2</v>
      </c>
      <c r="D93" s="8" t="s">
        <v>13</v>
      </c>
      <c r="E93" s="9" t="str">
        <f>VLOOKUP(AI93,$U$93:$AH$96,2)</f>
        <v>ManchesterUrubu City</v>
      </c>
      <c r="F93" s="9">
        <f>VLOOKUP(AI93,$U$93:$AH$96,3)</f>
        <v>3</v>
      </c>
      <c r="G93" s="9">
        <f>VLOOKUP(AI93,$U$93:$AH$96,4)</f>
        <v>6</v>
      </c>
      <c r="H93" s="10">
        <f>VLOOKUP(AI93,$U$93:$AH$96,5)</f>
        <v>2</v>
      </c>
      <c r="I93" s="10">
        <f>VLOOKUP(AI93,$U$93:$AH$96,6)</f>
        <v>0</v>
      </c>
      <c r="J93" s="10">
        <f>VLOOKUP(AI93,$U$93:$AH$96,7)</f>
        <v>0</v>
      </c>
      <c r="K93" s="10">
        <f>VLOOKUP(AI93,$U$93:$AH$96,8)</f>
        <v>1</v>
      </c>
      <c r="L93" s="10">
        <f>VLOOKUP(AI93,$U$93:$AH$96,9)</f>
        <v>154</v>
      </c>
      <c r="M93" s="10">
        <f>VLOOKUP(AI93,$U$93:$AH$96,10)</f>
        <v>147</v>
      </c>
      <c r="N93" s="9">
        <f>VLOOKUP(AI93,$U$93:$AH$96,11)</f>
        <v>7</v>
      </c>
      <c r="O93" s="16">
        <f>VLOOKUP(AI93,$U$93:$AH$96,12)</f>
        <v>0.66666666666666663</v>
      </c>
      <c r="Q93" s="40"/>
      <c r="R93" s="41" t="s">
        <v>34</v>
      </c>
      <c r="S93" s="41"/>
      <c r="T93" s="41"/>
      <c r="U93" s="45">
        <v>1</v>
      </c>
      <c r="V93" s="44" t="str">
        <f>IF(OR('1ª fase'!K34="",'1ª fase'!M34=""),"VENCEDOR J12",IF('1ª fase'!K34&gt;'1ª fase'!M34,'1ª fase'!C34,'1ª fase'!N34))</f>
        <v>Bode de chuteira</v>
      </c>
      <c r="W93" s="44">
        <f>COUNT(H101,H108,H114)</f>
        <v>3</v>
      </c>
      <c r="X93" s="44">
        <f>SUM(Q101,Q108,Q114)</f>
        <v>5</v>
      </c>
      <c r="Y93" s="44">
        <f>SUM(COUNTIFS($C$101:$C$115,3,$D$101:$D$115,V93),COUNTIFS($I$101:$I$115,V93,$Q$101:$Q$115,3))</f>
        <v>1</v>
      </c>
      <c r="Z93" s="44">
        <f>SUM(COUNTIFS($C$101:$C$115,2,$D$101:$D$115,V93),COUNTIFS($I$101:$I$115,V93,$Q$101:$Q$115,2))</f>
        <v>1</v>
      </c>
      <c r="AA93" s="44">
        <f>SUM(COUNTIFS($C$101:$C$115,1,$D$101:$D$115,V93),COUNTIFS($I$101:$I$115,V93,$Q$101:$Q$115,1))</f>
        <v>0</v>
      </c>
      <c r="AB93" s="44">
        <f>SUM(COUNTIFS($C$101:$C$115,0,$D$101:$D$115,V93),COUNTIFS($I$101:$I$115,V93,$Q$101:$Q$115,0))</f>
        <v>1</v>
      </c>
      <c r="AC93" s="121">
        <f>SUM(H101,H108,H114)</f>
        <v>156</v>
      </c>
      <c r="AD93" s="121">
        <f>SUM(F101,F108,F114)</f>
        <v>135</v>
      </c>
      <c r="AE93" s="121">
        <f>AC93-AD93</f>
        <v>21</v>
      </c>
      <c r="AF93" s="121">
        <f>IF(OR($F$101="",$H$101=""),0,(X93/(W93*3)))</f>
        <v>0.55555555555555558</v>
      </c>
      <c r="AG93" s="44">
        <f>(X93*10^10)+((AC93+5000)*10^6)+AE93*10+U93</f>
        <v>55156000211</v>
      </c>
      <c r="AH93" s="44">
        <f>LARGE($AG$93:$AG$96,U93)</f>
        <v>65154000073</v>
      </c>
      <c r="AI93" s="90">
        <f>MATCH(AH93,$AG$93:$AG$96,0)</f>
        <v>3</v>
      </c>
      <c r="AJ93" s="44"/>
      <c r="AK93" s="44"/>
    </row>
    <row r="94" spans="3:37" ht="15.75" thickBot="1">
      <c r="C94" s="40">
        <f>IF(OR(F94="",H94=""),"",IF(F94=H94,1,IF(F94&lt;H94,0,IF(F94-H94&lt;10,2,IF(F94&gt;H94,3,SE)))))</f>
        <v>2</v>
      </c>
      <c r="D94" s="11" t="s">
        <v>15</v>
      </c>
      <c r="E94" s="91" t="str">
        <f t="shared" ref="E94:E96" si="28">VLOOKUP(AI94,$U$93:$AH$96,2)</f>
        <v>Bode de chuteira</v>
      </c>
      <c r="F94" s="91">
        <f t="shared" ref="F94:F96" si="29">VLOOKUP(AI94,$U$93:$AH$96,3)</f>
        <v>3</v>
      </c>
      <c r="G94" s="91">
        <f t="shared" ref="G94:G96" si="30">VLOOKUP(AI94,$U$93:$AH$96,4)</f>
        <v>5</v>
      </c>
      <c r="H94" s="92">
        <f t="shared" ref="H94:H96" si="31">VLOOKUP(AI94,$U$93:$AH$96,5)</f>
        <v>1</v>
      </c>
      <c r="I94" s="92">
        <f t="shared" ref="I94:I96" si="32">VLOOKUP(AI94,$U$93:$AH$96,6)</f>
        <v>1</v>
      </c>
      <c r="J94" s="92">
        <f t="shared" ref="J94:J96" si="33">VLOOKUP(AI94,$U$93:$AH$96,7)</f>
        <v>0</v>
      </c>
      <c r="K94" s="92">
        <f t="shared" ref="K94:K96" si="34">VLOOKUP(AI94,$U$93:$AH$96,8)</f>
        <v>1</v>
      </c>
      <c r="L94" s="92">
        <f t="shared" ref="L94:L96" si="35">VLOOKUP(AI94,$U$93:$AH$96,9)</f>
        <v>156</v>
      </c>
      <c r="M94" s="92">
        <f t="shared" ref="M94:M96" si="36">VLOOKUP(AI94,$U$93:$AH$96,10)</f>
        <v>135</v>
      </c>
      <c r="N94" s="91">
        <f t="shared" ref="N94:N96" si="37">VLOOKUP(AI94,$U$93:$AH$96,11)</f>
        <v>21</v>
      </c>
      <c r="O94" s="93">
        <f t="shared" ref="O94:O96" si="38">VLOOKUP(AI94,$U$93:$AH$96,12)</f>
        <v>0.55555555555555558</v>
      </c>
      <c r="Q94" s="40"/>
      <c r="R94" s="46"/>
      <c r="S94" s="41" t="s">
        <v>35</v>
      </c>
      <c r="T94" s="41"/>
      <c r="U94" s="45">
        <v>2</v>
      </c>
      <c r="V94" s="44" t="str">
        <f>IF(OR('1ª fase'!K33="",'1ª fase'!M33=""),"VENCEDOR J11",IF('1ª fase'!K33&gt;'1ª fase'!M33,'1ª fase'!C33,'1ª fase'!N33))</f>
        <v>Tratozzi FC</v>
      </c>
      <c r="W94" s="44">
        <f>COUNT(H114,F107,F102)</f>
        <v>3</v>
      </c>
      <c r="X94" s="44">
        <f>SUM(Q102,Q107,C114)</f>
        <v>2</v>
      </c>
      <c r="Y94" s="44">
        <f>SUM(COUNTIFS($C$101:$C$115,3,$D$101:$D$115,V94),COUNTIFS($I$101:$I$115,V94,$Q$101:$Q$115,3))</f>
        <v>0</v>
      </c>
      <c r="Z94" s="44">
        <f>SUM(COUNTIFS($C$101:$C$115,2,$D$101:$D$115,V94),COUNTIFS($I$101:$I$115,V94,$Q$101:$Q$115,2))</f>
        <v>1</v>
      </c>
      <c r="AA94" s="44">
        <f>SUM(COUNTIFS($C$101:$C$115,1,$D$101:$D$115,V94),COUNTIFS($I$101:$I$115,V94,$Q$101:$Q$115,1))</f>
        <v>0</v>
      </c>
      <c r="AB94" s="44">
        <f>SUM(COUNTIFS($C$101:$C$115,0,$D$101:$D$115,V94),COUNTIFS($I$101:$I$115,V94,$Q$101:$Q$115,0))</f>
        <v>2</v>
      </c>
      <c r="AC94" s="121">
        <f>SUM(H102,H107,F114)</f>
        <v>148</v>
      </c>
      <c r="AD94" s="121">
        <f>SUM(H114,F107,F102)</f>
        <v>170</v>
      </c>
      <c r="AE94" s="121">
        <f t="shared" ref="AE94:AE96" si="39">AC94-AD94</f>
        <v>-22</v>
      </c>
      <c r="AF94" s="121">
        <f t="shared" ref="AF94:AF96" si="40">IF(OR($F$101="",$H$101=""),0,(X94/(W94*3)))</f>
        <v>0.22222222222222221</v>
      </c>
      <c r="AG94" s="44">
        <f t="shared" ref="AG94:AG96" si="41">(X94*10^10)+((AC94+5000)*10^6)+AE94*10+U94</f>
        <v>25147999782</v>
      </c>
      <c r="AH94" s="44">
        <f t="shared" ref="AH94:AH96" si="42">LARGE($AG$93:$AG$96,U94)</f>
        <v>55156000211</v>
      </c>
      <c r="AI94" s="90">
        <f t="shared" ref="AI94:AI96" si="43">MATCH(AH94,$AG$93:$AG$96,0)</f>
        <v>1</v>
      </c>
      <c r="AJ94" s="44"/>
      <c r="AK94" s="44"/>
    </row>
    <row r="95" spans="3:37" ht="15.75" thickBot="1">
      <c r="C95" s="40">
        <f>IF(OR(F95="",H95=""),"",IF(F95=H95,1,IF(F95&lt;H95,0,IF(F95-H95&lt;10,2,IF(F95&gt;H95,3,SE)))))</f>
        <v>2</v>
      </c>
      <c r="D95" s="30" t="s">
        <v>16</v>
      </c>
      <c r="E95" s="31" t="str">
        <f t="shared" si="28"/>
        <v>Real Madrid football clube</v>
      </c>
      <c r="F95" s="31">
        <f t="shared" si="29"/>
        <v>3</v>
      </c>
      <c r="G95" s="31">
        <f t="shared" si="30"/>
        <v>3</v>
      </c>
      <c r="H95" s="32">
        <f t="shared" si="31"/>
        <v>1</v>
      </c>
      <c r="I95" s="32">
        <f t="shared" si="32"/>
        <v>0</v>
      </c>
      <c r="J95" s="32">
        <f t="shared" si="33"/>
        <v>0</v>
      </c>
      <c r="K95" s="32">
        <f t="shared" si="34"/>
        <v>2</v>
      </c>
      <c r="L95" s="32">
        <f t="shared" si="35"/>
        <v>162</v>
      </c>
      <c r="M95" s="32">
        <f t="shared" si="36"/>
        <v>168</v>
      </c>
      <c r="N95" s="31">
        <f t="shared" si="37"/>
        <v>-6</v>
      </c>
      <c r="O95" s="33">
        <f t="shared" si="38"/>
        <v>0.33333333333333331</v>
      </c>
      <c r="Q95" s="40"/>
      <c r="R95" s="47"/>
      <c r="S95" s="19" t="s">
        <v>38</v>
      </c>
      <c r="T95" s="41"/>
      <c r="U95" s="45">
        <v>3</v>
      </c>
      <c r="V95" s="44" t="str">
        <f>IF(OR('1ª fase'!K32="",'1ª fase'!M32=""),"VENCEDOR J10",IF('1ª fase'!K32&gt;'1ª fase'!M32,'1ª fase'!C32,'1ª fase'!N32))</f>
        <v>ManchesterUrubu City</v>
      </c>
      <c r="W95" s="44">
        <f>COUNT(H113,F108,F102)</f>
        <v>3</v>
      </c>
      <c r="X95" s="44">
        <f>SUM(C102,C108,Q113)</f>
        <v>6</v>
      </c>
      <c r="Y95" s="44">
        <f>SUM(COUNTIFS($C$101:$C$115,3,$D$101:$D$115,V95),COUNTIFS($I$101:$I$115,V95,$Q$101:$Q$115,3))</f>
        <v>2</v>
      </c>
      <c r="Z95" s="44">
        <f>SUM(COUNTIFS($C$101:$C$115,2,$D$101:$D$115,V95),COUNTIFS($I$101:$I$115,V95,$Q$101:$Q$115,2))</f>
        <v>0</v>
      </c>
      <c r="AA95" s="44">
        <f>SUM(COUNTIFS($C$101:$C$115,1,$D$101:$D$115,V95),COUNTIFS($I$101:$I$115,V95,$Q$101:$Q$115,1))</f>
        <v>0</v>
      </c>
      <c r="AB95" s="44">
        <f>SUM(COUNTIFS($C$101:$C$115,0,$D$101:$D$115,V95),COUNTIFS($I$101:$I$115,V95,$Q$101:$Q$115,0))</f>
        <v>1</v>
      </c>
      <c r="AC95" s="121">
        <f>SUM(H113,F108,F102)</f>
        <v>154</v>
      </c>
      <c r="AD95" s="121">
        <f>SUM(H102,H108,F113)</f>
        <v>147</v>
      </c>
      <c r="AE95" s="121">
        <f t="shared" si="39"/>
        <v>7</v>
      </c>
      <c r="AF95" s="121">
        <f t="shared" si="40"/>
        <v>0.66666666666666663</v>
      </c>
      <c r="AG95" s="44">
        <f t="shared" si="41"/>
        <v>65154000073</v>
      </c>
      <c r="AH95" s="44">
        <f>LARGE($AG$93:$AG$96,U95)</f>
        <v>35161999944</v>
      </c>
      <c r="AI95" s="90">
        <f t="shared" si="43"/>
        <v>4</v>
      </c>
      <c r="AJ95" s="44"/>
      <c r="AK95" s="44"/>
    </row>
    <row r="96" spans="3:37" ht="15.75" thickBot="1">
      <c r="C96" s="40">
        <f>IF(OR(F96="",H96=""),"",IF(F96=H96,1,IF(F96&lt;H96,0,IF(F96-H96&lt;10,2,IF(F96&gt;H96,3,SE)))))</f>
        <v>2</v>
      </c>
      <c r="D96" s="12" t="s">
        <v>17</v>
      </c>
      <c r="E96" s="6" t="str">
        <f t="shared" si="28"/>
        <v>Tratozzi FC</v>
      </c>
      <c r="F96" s="6">
        <f t="shared" si="29"/>
        <v>3</v>
      </c>
      <c r="G96" s="6">
        <f t="shared" si="30"/>
        <v>2</v>
      </c>
      <c r="H96" s="7">
        <f t="shared" si="31"/>
        <v>0</v>
      </c>
      <c r="I96" s="7">
        <f t="shared" si="32"/>
        <v>1</v>
      </c>
      <c r="J96" s="7">
        <f t="shared" si="33"/>
        <v>0</v>
      </c>
      <c r="K96" s="7">
        <f t="shared" si="34"/>
        <v>2</v>
      </c>
      <c r="L96" s="7">
        <f t="shared" si="35"/>
        <v>148</v>
      </c>
      <c r="M96" s="7">
        <f t="shared" si="36"/>
        <v>170</v>
      </c>
      <c r="N96" s="6">
        <f t="shared" si="37"/>
        <v>-22</v>
      </c>
      <c r="O96" s="15">
        <f t="shared" si="38"/>
        <v>0.22222222222222221</v>
      </c>
      <c r="Q96" s="40"/>
      <c r="R96" s="48"/>
      <c r="S96" s="41" t="s">
        <v>37</v>
      </c>
      <c r="T96" s="41"/>
      <c r="U96" s="45">
        <v>4</v>
      </c>
      <c r="V96" s="44" t="str">
        <f>IF(OR('1ª fase'!K31="",'1ª fase'!M31=""),"VENCEDOR J9",IF('1ª fase'!K31&gt;'1ª fase'!M31,'1ª fase'!C31,'1ª fase'!N31))</f>
        <v>Real Madrid football clube</v>
      </c>
      <c r="W96" s="44">
        <f>COUNT(F101,F107,F113)</f>
        <v>3</v>
      </c>
      <c r="X96" s="44">
        <f>SUM(C101,C107,C113)</f>
        <v>3</v>
      </c>
      <c r="Y96" s="44">
        <f>SUM(COUNTIFS($C$101:$C$115,3,$D$101:$D$115,V96),COUNTIFS($I$101:$I$115,V96,$Q$101:$Q$115,3))</f>
        <v>1</v>
      </c>
      <c r="Z96" s="44">
        <f>SUM(COUNTIFS($C$101:$C$115,2,$D$101:$D$115,V96),COUNTIFS($I$101:$I$115,V96,$Q$101:$Q$115,2))</f>
        <v>0</v>
      </c>
      <c r="AA96" s="44">
        <f>SUM(COUNTIFS($C$101:$C$115,1,$D$101:$D$115,V96),COUNTIFS($I$101:$I$115,V96,$Q$101:$Q$115,1))</f>
        <v>0</v>
      </c>
      <c r="AB96" s="44">
        <f>SUM(COUNTIFS($C$101:$C$115,0,$D$101:$D$115,V96),COUNTIFS($I$101:$I$115,V96,$Q$101:$Q$115,0))</f>
        <v>2</v>
      </c>
      <c r="AC96" s="121">
        <f>SUM(F101,F107,F113)</f>
        <v>162</v>
      </c>
      <c r="AD96" s="121">
        <f>SUM(H113,H107,H101)</f>
        <v>168</v>
      </c>
      <c r="AE96" s="121">
        <f t="shared" si="39"/>
        <v>-6</v>
      </c>
      <c r="AF96" s="121">
        <f t="shared" si="40"/>
        <v>0.33333333333333331</v>
      </c>
      <c r="AG96" s="44">
        <f t="shared" si="41"/>
        <v>35161999944</v>
      </c>
      <c r="AH96" s="44">
        <f t="shared" si="42"/>
        <v>25147999782</v>
      </c>
      <c r="AI96" s="90">
        <f t="shared" si="43"/>
        <v>2</v>
      </c>
      <c r="AJ96" s="44"/>
      <c r="AK96" s="44"/>
    </row>
    <row r="97" spans="3:37" ht="15.75" thickBot="1">
      <c r="C97" s="40" t="str">
        <f>IF(OR(F97="",H97=""),"",IF(F97=H97,1,IF(F97&lt;H97,0,IF(F97-H97&lt;10,2,IF(F97&gt;H97,3,SE)))))</f>
        <v/>
      </c>
      <c r="Q97" s="40" t="str">
        <f>IF(OR(H97="",F97=""),"",IF(H97=F97,1,IF(H97&lt;F97,0,IF(H97-F97&lt;10,2,IF(H97&gt;F97,3,SE)))))</f>
        <v/>
      </c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</row>
    <row r="98" spans="3:37">
      <c r="C98" s="40" t="str">
        <f>IF(OR(F98="",H98=""),"",IF(F98=H98,1,IF(F98&lt;H98,0,IF(F98-H98&lt;10,2,IF(F98&gt;H98,3,SE)))))</f>
        <v/>
      </c>
      <c r="D98" s="198" t="s">
        <v>160</v>
      </c>
      <c r="E98" s="199"/>
      <c r="F98" s="199"/>
      <c r="G98" s="199"/>
      <c r="H98" s="199"/>
      <c r="I98" s="199"/>
      <c r="J98" s="199"/>
      <c r="K98" s="199"/>
      <c r="L98" s="199"/>
      <c r="M98" s="199"/>
      <c r="N98" s="199"/>
      <c r="O98" s="199"/>
      <c r="P98" s="200"/>
      <c r="Q98" s="40" t="str">
        <f>IF(OR(H98="",F98=""),"",IF(H98=F98,1,IF(H98&lt;F98,0,IF(H98-F98&lt;10,2,IF(H98&gt;F98,3,SE)))))</f>
        <v/>
      </c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</row>
    <row r="99" spans="3:37" ht="15.75" thickBot="1">
      <c r="C99" s="40" t="str">
        <f>IF(OR(F99="",H99=""),"",IF(F99=H99,1,IF(F99&lt;H99,0,IF(F99-H99&lt;10,2,IF(F99&gt;H99,3,SE)))))</f>
        <v/>
      </c>
      <c r="D99" s="204"/>
      <c r="E99" s="205"/>
      <c r="F99" s="205"/>
      <c r="G99" s="205"/>
      <c r="H99" s="205"/>
      <c r="I99" s="205"/>
      <c r="J99" s="205"/>
      <c r="K99" s="205"/>
      <c r="L99" s="205"/>
      <c r="M99" s="205"/>
      <c r="N99" s="205"/>
      <c r="O99" s="205"/>
      <c r="P99" s="206"/>
      <c r="Q99" s="40" t="str">
        <f>IF(OR(H99="",F99=""),"",IF(H99=F99,1,IF(H99&lt;F99,0,IF(H99-F99&lt;10,2,IF(H99&gt;F99,3,SE)))))</f>
        <v/>
      </c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</row>
    <row r="100" spans="3:37">
      <c r="C100" s="40" t="str">
        <f>IF(OR(F100="",H100=""),"",IF(F100=H100,1,IF(F100&lt;H100,0,IF(F100-H100&lt;10,2,IF(F100&gt;H100,3,SE)))))</f>
        <v/>
      </c>
      <c r="Q100" s="40" t="str">
        <f>IF(OR(H100="",F100=""),"",IF(H100=F100,1,IF(H100&lt;F100,0,IF(H100-F100&lt;10,2,IF(H100&gt;F100,3,SE)))))</f>
        <v/>
      </c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</row>
    <row r="101" spans="3:37">
      <c r="C101" s="40">
        <f>IF(OR(F101="",H101=""),"",IF(F101=H101,1,IF(F101&lt;H101,0,IF(F101-H101&lt;10,2,IF(F101&gt;H101,3,SE)))))</f>
        <v>0</v>
      </c>
      <c r="D101" s="197" t="str">
        <f>V96</f>
        <v>Real Madrid football clube</v>
      </c>
      <c r="E101" s="197"/>
      <c r="F101" s="140">
        <v>49</v>
      </c>
      <c r="G101" s="17" t="s">
        <v>19</v>
      </c>
      <c r="H101" s="141">
        <v>55</v>
      </c>
      <c r="I101" s="197" t="str">
        <f>V93</f>
        <v>Bode de chuteira</v>
      </c>
      <c r="J101" s="197"/>
      <c r="K101" s="197"/>
      <c r="L101" s="197"/>
      <c r="M101" s="197"/>
      <c r="N101" s="197"/>
      <c r="O101" s="197"/>
      <c r="P101" s="197"/>
      <c r="Q101" s="40">
        <f>IF(OR(H101="",F101=""),"",IF(H101=F101,1,IF(H101&lt;F101,0,IF(H101-F101&lt;10,2,IF(H101&gt;F101,3,SE)))))</f>
        <v>2</v>
      </c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</row>
    <row r="102" spans="3:37">
      <c r="C102" s="40">
        <f>IF(OR(F102="",H102=""),"",IF(F102=H102,1,IF(F102&lt;H102,0,IF(F102-H102&lt;10,2,IF(F102&gt;H102,3,SE)))))</f>
        <v>3</v>
      </c>
      <c r="D102" s="197" t="str">
        <f>V95</f>
        <v>ManchesterUrubu City</v>
      </c>
      <c r="E102" s="197"/>
      <c r="F102" s="141">
        <v>59</v>
      </c>
      <c r="G102" s="17" t="s">
        <v>19</v>
      </c>
      <c r="H102" s="140">
        <v>44</v>
      </c>
      <c r="I102" s="197" t="str">
        <f>V94</f>
        <v>Tratozzi FC</v>
      </c>
      <c r="J102" s="197"/>
      <c r="K102" s="197"/>
      <c r="L102" s="197"/>
      <c r="M102" s="197"/>
      <c r="N102" s="197"/>
      <c r="O102" s="197"/>
      <c r="P102" s="197"/>
      <c r="Q102" s="40">
        <f>IF(OR(H102="",F102=""),"",IF(H102=F102,1,IF(H102&lt;F102,0,IF(H102-F102&lt;10,2,IF(H102&gt;F102,3,SE)))))</f>
        <v>0</v>
      </c>
      <c r="R102" s="41"/>
      <c r="S102" s="41"/>
      <c r="T102" s="41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</row>
    <row r="103" spans="3:37" ht="15.75" thickBot="1">
      <c r="C103" s="40" t="str">
        <f>IF(OR(F103="",H103=""),"",IF(F103=H103,1,IF(F103&lt;H103,0,IF(F103-H103&lt;10,2,IF(F103&gt;H103,3,SE)))))</f>
        <v/>
      </c>
      <c r="Q103" s="40" t="str">
        <f>IF(OR(H103="",F103=""),"",IF(H103=F103,1,IF(H103&lt;F103,0,IF(H103-F103&lt;10,2,IF(H103&gt;F103,3,SE)))))</f>
        <v/>
      </c>
      <c r="R103" s="41"/>
      <c r="S103" s="41"/>
      <c r="T103" s="41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</row>
    <row r="104" spans="3:37">
      <c r="C104" s="40" t="str">
        <f>IF(OR(F104="",H104=""),"",IF(F104=H104,1,IF(F104&lt;H104,0,IF(F104-H104&lt;10,2,IF(F104&gt;H104,3,SE)))))</f>
        <v/>
      </c>
      <c r="D104" s="207" t="s">
        <v>161</v>
      </c>
      <c r="E104" s="208"/>
      <c r="F104" s="208"/>
      <c r="G104" s="208"/>
      <c r="H104" s="208"/>
      <c r="I104" s="208"/>
      <c r="J104" s="208"/>
      <c r="K104" s="208"/>
      <c r="L104" s="208"/>
      <c r="M104" s="208"/>
      <c r="N104" s="208"/>
      <c r="O104" s="208"/>
      <c r="P104" s="209"/>
      <c r="Q104" s="40" t="str">
        <f>IF(OR(H104="",F104=""),"",IF(H104=F104,1,IF(H104&lt;F104,0,IF(H104-F104&lt;10,2,IF(H104&gt;F104,3,SE)))))</f>
        <v/>
      </c>
      <c r="R104" s="41"/>
      <c r="S104" s="41"/>
      <c r="T104" s="41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</row>
    <row r="105" spans="3:37" ht="15.75" thickBot="1">
      <c r="C105" s="40" t="str">
        <f>IF(OR(F105="",H105=""),"",IF(F105=H105,1,IF(F105&lt;H105,0,IF(F105-H105&lt;10,2,IF(F105&gt;H105,3,SE)))))</f>
        <v/>
      </c>
      <c r="D105" s="210"/>
      <c r="E105" s="211"/>
      <c r="F105" s="211"/>
      <c r="G105" s="211"/>
      <c r="H105" s="211"/>
      <c r="I105" s="211"/>
      <c r="J105" s="211"/>
      <c r="K105" s="211"/>
      <c r="L105" s="211"/>
      <c r="M105" s="211"/>
      <c r="N105" s="211"/>
      <c r="O105" s="211"/>
      <c r="P105" s="212"/>
      <c r="Q105" s="40" t="str">
        <f>IF(OR(H105="",F105=""),"",IF(H105=F105,1,IF(H105&lt;F105,0,IF(H105-F105&lt;10,2,IF(H105&gt;F105,3,SE)))))</f>
        <v/>
      </c>
      <c r="R105" s="41"/>
      <c r="S105" s="41"/>
      <c r="T105" s="41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</row>
    <row r="106" spans="3:37">
      <c r="C106" s="40" t="str">
        <f>IF(OR(F106="",H106=""),"",IF(F106=H106,1,IF(F106&lt;H106,0,IF(F106-H106&lt;10,2,IF(F106&gt;H106,3,SE)))))</f>
        <v/>
      </c>
      <c r="Q106" s="40" t="str">
        <f>IF(OR(H106="",F106=""),"",IF(H106=F106,1,IF(H106&lt;F106,0,IF(H106-F106&lt;10,2,IF(H106&gt;F106,3,SE)))))</f>
        <v/>
      </c>
      <c r="R106" s="41"/>
      <c r="S106" s="41"/>
      <c r="T106" s="41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</row>
    <row r="107" spans="3:37">
      <c r="C107" s="40">
        <f>IF(OR(F107="",H107=""),"",IF(F107=H107,1,IF(F107&lt;H107,0,IF(F107-H107&lt;10,2,IF(F107&gt;H107,3,SE)))))</f>
        <v>3</v>
      </c>
      <c r="D107" s="197" t="str">
        <f>V96</f>
        <v>Real Madrid football clube</v>
      </c>
      <c r="E107" s="197"/>
      <c r="F107" s="141">
        <v>78</v>
      </c>
      <c r="G107" s="18" t="s">
        <v>19</v>
      </c>
      <c r="H107" s="140">
        <v>63</v>
      </c>
      <c r="I107" s="197" t="str">
        <f>V94</f>
        <v>Tratozzi FC</v>
      </c>
      <c r="J107" s="197"/>
      <c r="K107" s="197"/>
      <c r="L107" s="197"/>
      <c r="M107" s="197"/>
      <c r="N107" s="197"/>
      <c r="O107" s="197"/>
      <c r="P107" s="197"/>
      <c r="Q107" s="40">
        <f>IF(OR(H107="",F107=""),"",IF(H107=F107,1,IF(H107&lt;F107,0,IF(H107-F107&lt;10,2,IF(H107&gt;F107,3,SE)))))</f>
        <v>0</v>
      </c>
      <c r="R107" s="41"/>
      <c r="S107" s="41"/>
      <c r="T107" s="41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</row>
    <row r="108" spans="3:37">
      <c r="C108" s="40">
        <f>IF(OR(F108="",H108=""),"",IF(F108=H108,1,IF(F108&lt;H108,0,IF(F108-H108&lt;10,2,IF(F108&gt;H108,3,SE)))))</f>
        <v>0</v>
      </c>
      <c r="D108" s="197" t="str">
        <f>V95</f>
        <v>ManchesterUrubu City</v>
      </c>
      <c r="E108" s="197"/>
      <c r="F108" s="140">
        <v>45</v>
      </c>
      <c r="G108" s="18" t="s">
        <v>19</v>
      </c>
      <c r="H108" s="141">
        <v>68</v>
      </c>
      <c r="I108" s="197" t="str">
        <f>V93</f>
        <v>Bode de chuteira</v>
      </c>
      <c r="J108" s="197"/>
      <c r="K108" s="197"/>
      <c r="L108" s="197"/>
      <c r="M108" s="197"/>
      <c r="N108" s="197"/>
      <c r="O108" s="197"/>
      <c r="P108" s="197"/>
      <c r="Q108" s="40">
        <f>IF(OR(H108="",F108=""),"",IF(H108=F108,1,IF(H108&lt;F108,0,IF(H108-F108&lt;10,2,IF(H108&gt;F108,3,SE)))))</f>
        <v>3</v>
      </c>
      <c r="R108" s="41"/>
      <c r="S108" s="41"/>
      <c r="T108" s="41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</row>
    <row r="109" spans="3:37" ht="15.75" thickBot="1">
      <c r="C109" s="40" t="str">
        <f>IF(OR(F109="",H109=""),"",IF(F109=H109,1,IF(F109&lt;H109,0,IF(F109-H109&lt;10,2,IF(F109&gt;H109,3,SE)))))</f>
        <v/>
      </c>
      <c r="F109" s="20"/>
      <c r="Q109" s="40" t="str">
        <f>IF(OR(H109="",F109=""),"",IF(H109=F109,1,IF(H109&lt;F109,0,IF(H109-F109&lt;10,2,IF(H109&gt;F109,3,SE)))))</f>
        <v/>
      </c>
      <c r="R109" s="41"/>
      <c r="S109" s="41"/>
      <c r="T109" s="41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</row>
    <row r="110" spans="3:37">
      <c r="C110" s="40" t="str">
        <f>IF(OR(F110="",H110=""),"",IF(F110=H110,1,IF(F110&lt;H110,0,IF(F110-H110&lt;10,2,IF(F110&gt;H110,3,SE)))))</f>
        <v/>
      </c>
      <c r="D110" s="207" t="s">
        <v>162</v>
      </c>
      <c r="E110" s="208"/>
      <c r="F110" s="208"/>
      <c r="G110" s="208"/>
      <c r="H110" s="208"/>
      <c r="I110" s="208"/>
      <c r="J110" s="208"/>
      <c r="K110" s="208"/>
      <c r="L110" s="208"/>
      <c r="M110" s="208"/>
      <c r="N110" s="208"/>
      <c r="O110" s="208"/>
      <c r="P110" s="209"/>
      <c r="Q110" s="40" t="str">
        <f>IF(OR(H110="",F110=""),"",IF(H110=F110,1,IF(H110&lt;F110,0,IF(H110-F110&lt;10,2,IF(H110&gt;F110,3,SE)))))</f>
        <v/>
      </c>
      <c r="R110" s="41"/>
      <c r="S110" s="41"/>
      <c r="T110" s="41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</row>
    <row r="111" spans="3:37" ht="15.75" thickBot="1">
      <c r="C111" s="40" t="str">
        <f>IF(OR(F111="",H111=""),"",IF(F111=H111,1,IF(F111&lt;H111,0,IF(F111-H111&lt;10,2,IF(F111&gt;H111,3,SE)))))</f>
        <v/>
      </c>
      <c r="D111" s="210"/>
      <c r="E111" s="211"/>
      <c r="F111" s="211"/>
      <c r="G111" s="211"/>
      <c r="H111" s="211"/>
      <c r="I111" s="211"/>
      <c r="J111" s="211"/>
      <c r="K111" s="211"/>
      <c r="L111" s="211"/>
      <c r="M111" s="211"/>
      <c r="N111" s="211"/>
      <c r="O111" s="211"/>
      <c r="P111" s="212"/>
      <c r="Q111" s="40" t="str">
        <f>IF(OR(H111="",F111=""),"",IF(H111=F111,1,IF(H111&lt;F111,0,IF(H111-F111&lt;10,2,IF(H111&gt;F111,3,SE)))))</f>
        <v/>
      </c>
      <c r="R111" s="41"/>
      <c r="S111" s="41"/>
      <c r="T111" s="41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</row>
    <row r="112" spans="3:37">
      <c r="C112" s="40" t="str">
        <f>IF(OR(F112="",H112=""),"",IF(F112=H112,1,IF(F112&lt;H112,0,IF(F112-H112&lt;10,2,IF(F112&gt;H112,3,SE)))))</f>
        <v/>
      </c>
      <c r="Q112" s="40" t="str">
        <f>IF(OR(H112="",F112=""),"",IF(H112=F112,1,IF(H112&lt;F112,0,IF(H112-F112&lt;10,2,IF(H112&gt;F112,3,SE)))))</f>
        <v/>
      </c>
      <c r="R112" s="41"/>
      <c r="S112" s="41"/>
      <c r="T112" s="41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</row>
    <row r="113" spans="3:37">
      <c r="C113" s="40">
        <f>IF(OR(F113="",H113=""),"",IF(F113=H113,1,IF(F113&lt;H113,0,IF(F113-H113&lt;10,2,IF(F113&gt;H113,3,SE)))))</f>
        <v>0</v>
      </c>
      <c r="D113" s="197" t="str">
        <f>V96</f>
        <v>Real Madrid football clube</v>
      </c>
      <c r="E113" s="197"/>
      <c r="F113" s="140">
        <v>35</v>
      </c>
      <c r="G113" s="18" t="s">
        <v>19</v>
      </c>
      <c r="H113" s="141">
        <v>50</v>
      </c>
      <c r="I113" s="197" t="str">
        <f>V95</f>
        <v>ManchesterUrubu City</v>
      </c>
      <c r="J113" s="197"/>
      <c r="K113" s="197"/>
      <c r="L113" s="197"/>
      <c r="M113" s="197"/>
      <c r="N113" s="197"/>
      <c r="O113" s="197"/>
      <c r="P113" s="197"/>
      <c r="Q113" s="40">
        <f>IF(OR(H113="",F113=""),"",IF(H113=F113,1,IF(H113&lt;F113,0,IF(H113-F113&lt;10,2,IF(H113&gt;F113,3,SE)))))</f>
        <v>3</v>
      </c>
      <c r="R113" s="41"/>
      <c r="S113" s="41"/>
      <c r="T113" s="41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</row>
    <row r="114" spans="3:37">
      <c r="C114" s="40">
        <f>IF(OR(F114="",H114=""),"",IF(F114=H114,1,IF(F114&lt;H114,0,IF(F114-H114&lt;10,2,IF(F114&gt;H114,3,SE)))))</f>
        <v>2</v>
      </c>
      <c r="D114" s="197" t="str">
        <f>V94</f>
        <v>Tratozzi FC</v>
      </c>
      <c r="E114" s="197"/>
      <c r="F114" s="141">
        <v>41</v>
      </c>
      <c r="G114" s="18" t="s">
        <v>19</v>
      </c>
      <c r="H114" s="140">
        <v>33</v>
      </c>
      <c r="I114" s="197" t="str">
        <f>V93</f>
        <v>Bode de chuteira</v>
      </c>
      <c r="J114" s="197"/>
      <c r="K114" s="197"/>
      <c r="L114" s="197"/>
      <c r="M114" s="197"/>
      <c r="N114" s="197"/>
      <c r="O114" s="197"/>
      <c r="P114" s="197"/>
      <c r="Q114" s="40">
        <f>IF(OR(H114="",F114=""),"",IF(H114=F114,1,IF(H114&lt;F114,0,IF(H114-F114&lt;10,2,IF(H114&gt;F114,3,SE)))))</f>
        <v>0</v>
      </c>
      <c r="R114" s="41"/>
      <c r="S114" s="41"/>
      <c r="T114" s="41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</row>
    <row r="115" spans="3:37">
      <c r="C115" s="40" t="str">
        <f>IF(OR(F115="",H115=""),"",IF(F115=H115,1,IF(F115&lt;H115,0,IF(F115-H115&lt;10,2,IF(F115&gt;H115,3,SE)))))</f>
        <v/>
      </c>
      <c r="Q115" s="40" t="str">
        <f>IF(OR(H115="",F115=""),"",IF(H115=F115,1,IF(H115&lt;F115,0,IF(H115-F115&lt;10,2,IF(H115&gt;F115,3,SE)))))</f>
        <v/>
      </c>
      <c r="R115" s="41"/>
      <c r="S115" s="41"/>
      <c r="T115" s="41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</row>
    <row r="116" spans="3:37">
      <c r="C116" s="40" t="str">
        <f>IF(OR(F116="",H116=""),"",IF(F116=H116,1,IF(F116&lt;H116,0,IF(F116-H116&lt;10,2,IF(F116&gt;H116,3,SE)))))</f>
        <v/>
      </c>
      <c r="D116" s="21"/>
      <c r="E116" s="21"/>
      <c r="F116" s="22"/>
      <c r="G116" s="23"/>
      <c r="H116" s="22"/>
      <c r="I116" s="21"/>
      <c r="J116" s="21"/>
      <c r="K116" s="21"/>
      <c r="L116" s="21"/>
      <c r="M116" s="21"/>
      <c r="N116" s="21"/>
      <c r="O116" s="21"/>
      <c r="P116" s="21"/>
      <c r="Q116" s="40"/>
      <c r="R116" s="41" t="s">
        <v>5</v>
      </c>
      <c r="S116" s="43"/>
      <c r="T116" s="41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</row>
    <row r="117" spans="3:37">
      <c r="C117" s="40" t="str">
        <f>IF(OR(F117="",H117=""),"",IF(F117=H117,1,IF(F117&lt;H117,0,IF(F117-H117&lt;10,2,IF(F117&gt;H117,3,SE)))))</f>
        <v/>
      </c>
      <c r="D117" s="21"/>
      <c r="E117" s="21"/>
      <c r="F117" s="22"/>
      <c r="G117" s="23"/>
      <c r="H117" s="22"/>
      <c r="I117" s="21"/>
      <c r="J117" s="21"/>
      <c r="K117" s="21"/>
      <c r="L117" s="21"/>
      <c r="M117" s="21"/>
      <c r="N117" s="21"/>
      <c r="O117" s="21"/>
      <c r="P117" s="21"/>
      <c r="Q117" s="40"/>
      <c r="R117" s="41" t="s">
        <v>14</v>
      </c>
      <c r="S117" s="43"/>
      <c r="T117" s="41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</row>
    <row r="118" spans="3:37">
      <c r="C118" s="40" t="str">
        <f>IF(OR(F118="",H118=""),"",IF(F118=H118,1,IF(F118&lt;H118,0,IF(F118-H118&lt;10,2,IF(F118&gt;H118,3,SE)))))</f>
        <v/>
      </c>
      <c r="D118" s="21"/>
      <c r="E118" s="21"/>
      <c r="F118" s="22"/>
      <c r="G118" s="23"/>
      <c r="H118" s="22"/>
      <c r="I118" s="21"/>
      <c r="J118" s="21"/>
      <c r="K118" s="21"/>
      <c r="L118" s="21"/>
      <c r="M118" s="21"/>
      <c r="N118" s="21"/>
      <c r="O118" s="21"/>
      <c r="P118" s="21"/>
      <c r="Q118" s="40"/>
      <c r="R118" s="41" t="s">
        <v>28</v>
      </c>
      <c r="T118" s="41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</row>
    <row r="119" spans="3:37">
      <c r="C119" s="40" t="str">
        <f>IF(OR(F119="",H119=""),"",IF(F119=H119,1,IF(F119&lt;H119,0,IF(F119-H119&lt;10,2,IF(F119&gt;H119,3,SE)))))</f>
        <v/>
      </c>
      <c r="D119" s="21"/>
      <c r="E119" s="21"/>
      <c r="F119" s="22"/>
      <c r="G119" s="23"/>
      <c r="H119" s="22"/>
      <c r="I119" s="21"/>
      <c r="J119" s="21"/>
      <c r="K119" s="21"/>
      <c r="L119" s="21"/>
      <c r="M119" s="21"/>
      <c r="N119" s="21"/>
      <c r="O119" s="21"/>
      <c r="P119" s="21"/>
      <c r="Q119" s="40"/>
      <c r="R119" s="41" t="s">
        <v>29</v>
      </c>
      <c r="S119" s="41"/>
      <c r="T119" s="41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</row>
    <row r="120" spans="3:37">
      <c r="C120" s="40" t="str">
        <f>IF(OR(F120="",H120=""),"",IF(F120=H120,1,IF(F120&lt;H120,0,IF(F120-H120&lt;10,2,IF(F120&gt;H120,3,SE)))))</f>
        <v/>
      </c>
      <c r="D120" s="21"/>
      <c r="E120" s="21"/>
      <c r="F120" s="22"/>
      <c r="G120" s="23"/>
      <c r="H120" s="22"/>
      <c r="I120" s="21"/>
      <c r="J120" s="21"/>
      <c r="K120" s="21"/>
      <c r="L120" s="21"/>
      <c r="M120" s="21"/>
      <c r="N120" s="21"/>
      <c r="O120" s="21"/>
      <c r="P120" s="21"/>
      <c r="Q120" s="40"/>
      <c r="R120" s="41" t="s">
        <v>30</v>
      </c>
      <c r="S120" s="41"/>
      <c r="T120" s="41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</row>
    <row r="121" spans="3:37" ht="15.75" thickBot="1">
      <c r="C121" s="40" t="str">
        <f>IF(OR(F121="",H121=""),"",IF(F121=H121,1,IF(F121&lt;H121,0,IF(F121-H121&lt;10,2,IF(F121&gt;H121,3,SE)))))</f>
        <v/>
      </c>
      <c r="Q121" s="40" t="str">
        <f>IF(OR(H121="",F121=""),"",IF(H121=F121,1,IF(H121&lt;F121,0,IF(H121-F121&lt;10,2,IF(H121&gt;F121,3,SE)))))</f>
        <v/>
      </c>
      <c r="R121" s="41" t="s">
        <v>31</v>
      </c>
      <c r="S121" s="41"/>
      <c r="T121" s="41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</row>
    <row r="122" spans="3:37" ht="15" customHeight="1">
      <c r="C122" s="40" t="str">
        <f>IF(OR(F122="",H122=""),"",IF(F122=H122,1,IF(F122&lt;H122,0,IF(F122-H122&lt;10,2,IF(F122&gt;H122,3,SE)))))</f>
        <v/>
      </c>
      <c r="D122" s="207" t="s">
        <v>159</v>
      </c>
      <c r="E122" s="208"/>
      <c r="F122" s="208"/>
      <c r="G122" s="208"/>
      <c r="H122" s="208"/>
      <c r="I122" s="208"/>
      <c r="J122" s="208"/>
      <c r="K122" s="208"/>
      <c r="L122" s="208"/>
      <c r="M122" s="208"/>
      <c r="N122" s="208"/>
      <c r="O122" s="209"/>
      <c r="Q122" s="40" t="str">
        <f>IF(OR(H122="",F122=""),"",IF(H122=F122,1,IF(H122&lt;F122,0,IF(H122-F122&lt;10,2,IF(H122&gt;F122,3,SE)))))</f>
        <v/>
      </c>
      <c r="R122" s="41" t="s">
        <v>32</v>
      </c>
      <c r="S122" s="41"/>
      <c r="T122" s="41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</row>
    <row r="123" spans="3:37" ht="15.75" customHeight="1" thickBot="1">
      <c r="C123" s="40" t="str">
        <f>IF(OR(F123="",H123=""),"",IF(F123=H123,1,IF(F123&lt;H123,0,IF(F123-H123&lt;10,2,IF(F123&gt;H123,3,SE)))))</f>
        <v/>
      </c>
      <c r="D123" s="210"/>
      <c r="E123" s="211"/>
      <c r="F123" s="211"/>
      <c r="G123" s="211"/>
      <c r="H123" s="211"/>
      <c r="I123" s="211"/>
      <c r="J123" s="211"/>
      <c r="K123" s="211"/>
      <c r="L123" s="211"/>
      <c r="M123" s="211"/>
      <c r="N123" s="211"/>
      <c r="O123" s="212"/>
      <c r="Q123" s="40" t="str">
        <f>IF(OR(H123="",F123=""),"",IF(H123=F123,1,IF(H123&lt;F123,0,IF(H123-F123&lt;10,2,IF(H123&gt;F123,3,SE)))))</f>
        <v/>
      </c>
      <c r="R123" s="41" t="s">
        <v>33</v>
      </c>
      <c r="S123" s="41"/>
      <c r="T123" s="40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</row>
    <row r="124" spans="3:37" ht="15.75" thickBot="1">
      <c r="C124" s="40">
        <f>IF(OR(F124="",H124=""),"",IF(F124=H124,1,IF(F124&lt;H124,0,IF(F124-H124&lt;10,2,IF(F124&gt;H124,3,SE)))))</f>
        <v>0</v>
      </c>
      <c r="D124" s="1" t="s">
        <v>0</v>
      </c>
      <c r="E124" s="2" t="s">
        <v>1</v>
      </c>
      <c r="F124" s="2" t="s">
        <v>21</v>
      </c>
      <c r="G124" s="2" t="s">
        <v>2</v>
      </c>
      <c r="H124" s="2" t="s">
        <v>22</v>
      </c>
      <c r="I124" s="2" t="s">
        <v>23</v>
      </c>
      <c r="J124" s="2" t="s">
        <v>24</v>
      </c>
      <c r="K124" s="2" t="s">
        <v>25</v>
      </c>
      <c r="L124" s="2" t="s">
        <v>27</v>
      </c>
      <c r="M124" s="2" t="s">
        <v>3</v>
      </c>
      <c r="N124" s="2" t="s">
        <v>4</v>
      </c>
      <c r="O124" s="3" t="s">
        <v>26</v>
      </c>
      <c r="Q124" s="40"/>
      <c r="R124" s="41" t="s">
        <v>18</v>
      </c>
      <c r="S124" s="41"/>
      <c r="T124" s="40"/>
      <c r="U124" s="45" t="s">
        <v>0</v>
      </c>
      <c r="V124" s="45" t="s">
        <v>6</v>
      </c>
      <c r="W124" s="45" t="s">
        <v>21</v>
      </c>
      <c r="X124" s="45" t="s">
        <v>2</v>
      </c>
      <c r="Y124" s="45" t="s">
        <v>22</v>
      </c>
      <c r="Z124" s="45" t="s">
        <v>23</v>
      </c>
      <c r="AA124" s="45" t="s">
        <v>24</v>
      </c>
      <c r="AB124" s="45" t="s">
        <v>25</v>
      </c>
      <c r="AC124" s="45" t="s">
        <v>7</v>
      </c>
      <c r="AD124" s="45" t="s">
        <v>8</v>
      </c>
      <c r="AE124" s="45" t="s">
        <v>9</v>
      </c>
      <c r="AF124" s="45" t="s">
        <v>26</v>
      </c>
      <c r="AG124" s="45" t="s">
        <v>10</v>
      </c>
      <c r="AH124" s="45" t="s">
        <v>11</v>
      </c>
      <c r="AI124" s="45" t="s">
        <v>12</v>
      </c>
      <c r="AJ124" s="44"/>
      <c r="AK124" s="44"/>
    </row>
    <row r="125" spans="3:37" ht="15.75" thickBot="1">
      <c r="C125" s="40">
        <f>IF(OR(F125="",H125=""),"",IF(F125=H125,1,IF(F125&lt;H125,0,IF(F125-H125&lt;10,2,IF(F125&gt;H125,3,SE)))))</f>
        <v>2</v>
      </c>
      <c r="D125" s="13" t="s">
        <v>13</v>
      </c>
      <c r="E125" s="4" t="str">
        <f>VLOOKUP(AI125,$U$125:$AH$128,2)</f>
        <v>Belmiro Village SFC</v>
      </c>
      <c r="F125" s="4">
        <f>VLOOKUP(AI125,$U$125:$AH$128,3)</f>
        <v>3</v>
      </c>
      <c r="G125" s="4">
        <f>VLOOKUP(AI125,$U$125:$AH$128,4)</f>
        <v>6</v>
      </c>
      <c r="H125" s="5">
        <f>VLOOKUP(AI125,$U$125:$AH$128,5)</f>
        <v>2</v>
      </c>
      <c r="I125" s="5">
        <f>VLOOKUP(AI125,$U$125:$AH$128,6)</f>
        <v>0</v>
      </c>
      <c r="J125" s="5">
        <f>VLOOKUP(AI125,$U$125:$AH$128,7)</f>
        <v>0</v>
      </c>
      <c r="K125" s="5">
        <f>VLOOKUP(AI125,$U$125:$AH$128,8)</f>
        <v>1</v>
      </c>
      <c r="L125" s="5">
        <f>VLOOKUP(AI125,$U$125:$AH$128,9)</f>
        <v>156</v>
      </c>
      <c r="M125" s="5">
        <f>VLOOKUP(AI125,$U$125:$AH$128,10)</f>
        <v>139</v>
      </c>
      <c r="N125" s="4">
        <f>VLOOKUP(AI125,$U$125:$AH$128,11)</f>
        <v>17</v>
      </c>
      <c r="O125" s="14">
        <f>VLOOKUP(AI125,$U$125:$AH$128,12)</f>
        <v>0.66666666666666663</v>
      </c>
      <c r="Q125" s="40"/>
      <c r="R125" s="41" t="s">
        <v>34</v>
      </c>
      <c r="S125" s="41"/>
      <c r="T125" s="40"/>
      <c r="U125" s="45">
        <v>1</v>
      </c>
      <c r="V125" s="44" t="str">
        <f>IF(OR('1ª fase'!K38="",'1ª fase'!M38=""),"VENCEDOR J16",IF('1ª fase'!K38&gt;'1ª fase'!M38,'1ª fase'!C38,'1ª fase'!N38))</f>
        <v>Kadosh o2</v>
      </c>
      <c r="W125" s="44">
        <f>COUNT(H133,H140,H146)</f>
        <v>3</v>
      </c>
      <c r="X125" s="44">
        <f>SUM(Q133,Q140,Q146)</f>
        <v>2</v>
      </c>
      <c r="Y125" s="44">
        <f>SUM(COUNTIFS($C$133:$C$147,3,$D$133:$D$147,V125),COUNTIFS($I$133:$I$147,V125,$Q$133:$Q$147,3))</f>
        <v>0</v>
      </c>
      <c r="Z125" s="44">
        <f>SUM(COUNTIFS($C$133:$C$147,2,$D$133:$D$147,V125),COUNTIFS($I$133:$I$147,V125,$Q$133:$Q$147,2))</f>
        <v>1</v>
      </c>
      <c r="AA125" s="44">
        <f>SUM(COUNTIFS($C$133:$C$147,1,$D$133:$D$147,V125),COUNTIFS($I$133:$I$147,V125,$Q$133:$Q$147,1))</f>
        <v>0</v>
      </c>
      <c r="AB125" s="44">
        <f>SUM(COUNTIFS($C$133:$C$147,0,$D$133:$D$147,V125),COUNTIFS($I$133:$I$147,V125,$Q$133:$Q$147,0))</f>
        <v>2</v>
      </c>
      <c r="AC125" s="121">
        <f>SUM(H133,H140,H146)</f>
        <v>163</v>
      </c>
      <c r="AD125" s="121">
        <f>SUM(F133,F140,F146)</f>
        <v>178</v>
      </c>
      <c r="AE125" s="121">
        <f>AC125-AD125</f>
        <v>-15</v>
      </c>
      <c r="AF125" s="121">
        <f>IF(OR($F$133="",$H$133=""),0,(X125/(W125*3)))</f>
        <v>0.22222222222222221</v>
      </c>
      <c r="AG125" s="44">
        <f>(X125*10^15)+((AC125+5000)*10^6)+AE125*10+U125</f>
        <v>2000005162999851</v>
      </c>
      <c r="AH125" s="44">
        <f>LARGE($AG$125:$AG$128,U125)</f>
        <v>6000005156000172</v>
      </c>
      <c r="AI125" s="90">
        <f>MATCH(AH125,$AG$125:$AG$128,0)</f>
        <v>2</v>
      </c>
      <c r="AJ125" s="44"/>
      <c r="AK125" s="44"/>
    </row>
    <row r="126" spans="3:37" ht="15.75" thickBot="1">
      <c r="C126" s="40">
        <f>IF(OR(F126="",H126=""),"",IF(F126=H126,1,IF(F126&lt;H126,0,IF(F126-H126&lt;10,2,IF(F126&gt;H126,3,SE)))))</f>
        <v>2</v>
      </c>
      <c r="D126" s="11" t="s">
        <v>15</v>
      </c>
      <c r="E126" s="91" t="str">
        <f t="shared" ref="E126:E128" si="44">VLOOKUP(AI126,$U$125:$AH$128,2)</f>
        <v>FC Douglas Leal</v>
      </c>
      <c r="F126" s="91">
        <f t="shared" ref="F126:F128" si="45">VLOOKUP(AI126,$U$125:$AH$128,3)</f>
        <v>3</v>
      </c>
      <c r="G126" s="91">
        <f t="shared" ref="G126:G128" si="46">VLOOKUP(AI126,$U$125:$AH$128,4)</f>
        <v>5</v>
      </c>
      <c r="H126" s="92">
        <f t="shared" ref="H126:H128" si="47">VLOOKUP(AI126,$U$125:$AH$128,5)</f>
        <v>1</v>
      </c>
      <c r="I126" s="92">
        <f t="shared" ref="I126:I128" si="48">VLOOKUP(AI126,$U$125:$AH$128,6)</f>
        <v>1</v>
      </c>
      <c r="J126" s="92">
        <f t="shared" ref="J126:J128" si="49">VLOOKUP(AI126,$U$125:$AH$128,7)</f>
        <v>0</v>
      </c>
      <c r="K126" s="92">
        <f t="shared" ref="K126:K128" si="50">VLOOKUP(AI126,$U$125:$AH$128,8)</f>
        <v>1</v>
      </c>
      <c r="L126" s="92">
        <f t="shared" ref="L126:L128" si="51">VLOOKUP(AI126,$U$125:$AH$128,9)</f>
        <v>141</v>
      </c>
      <c r="M126" s="92">
        <f t="shared" ref="M126:M128" si="52">VLOOKUP(AI126,$U$125:$AH$128,10)</f>
        <v>120</v>
      </c>
      <c r="N126" s="91">
        <f t="shared" ref="N126:N128" si="53">VLOOKUP(AI126,$U$125:$AH$128,11)</f>
        <v>21</v>
      </c>
      <c r="O126" s="93">
        <f t="shared" ref="O126:O128" si="54">VLOOKUP(AI126,$U$125:$AH$128,12)</f>
        <v>0.55555555555555558</v>
      </c>
      <c r="Q126" s="40"/>
      <c r="R126" s="46"/>
      <c r="S126" s="41" t="s">
        <v>35</v>
      </c>
      <c r="T126" s="40"/>
      <c r="U126" s="45">
        <v>2</v>
      </c>
      <c r="V126" s="44" t="str">
        <f>IF(OR('1ª fase'!K37="",'1ª fase'!M37=""),"VENCEDOR J15",IF('1ª fase'!K37&gt;'1ª fase'!M37,'1ª fase'!C37,'1ª fase'!N37))</f>
        <v>Belmiro Village SFC</v>
      </c>
      <c r="W126" s="44">
        <f>COUNT(H146,F139,F134)</f>
        <v>3</v>
      </c>
      <c r="X126" s="44">
        <f>SUM(Q134,Q139,C146)</f>
        <v>6</v>
      </c>
      <c r="Y126" s="44">
        <f>SUM(COUNTIFS($C$133:$C$147,3,$D$133:$D$147,V126),COUNTIFS($I$133:$I$147,V126,$Q$133:$Q$147,3))</f>
        <v>2</v>
      </c>
      <c r="Z126" s="44">
        <f>SUM(COUNTIFS($C$133:$C$147,2,$D$133:$D$147,V126),COUNTIFS($I$133:$I$147,V126,$Q$133:$Q$147,2))</f>
        <v>0</v>
      </c>
      <c r="AA126" s="44">
        <f>SUM(COUNTIFS($C$133:$C$147,1,$D$133:$D$147,V126),COUNTIFS($I$133:$I$147,V126,$Q$133:$Q$147,1))</f>
        <v>0</v>
      </c>
      <c r="AB126" s="44">
        <f>SUM(COUNTIFS($C$133:$C$147,0,$D$133:$D$147,V126),COUNTIFS($I$133:$I$147,V126,$Q$133:$Q$147,0))</f>
        <v>1</v>
      </c>
      <c r="AC126" s="121">
        <f>SUM(H134,H139,F146)</f>
        <v>156</v>
      </c>
      <c r="AD126" s="121">
        <f>SUM(H146,F139,F134)</f>
        <v>139</v>
      </c>
      <c r="AE126" s="121">
        <f t="shared" ref="AE126:AE128" si="55">AC126-AD126</f>
        <v>17</v>
      </c>
      <c r="AF126" s="121">
        <f>IF(OR($F$133="",$H$133=""),0,(X126/(W126*3)))</f>
        <v>0.66666666666666663</v>
      </c>
      <c r="AG126" s="44">
        <f t="shared" ref="AG126:AG128" si="56">(X126*10^15)+((AC126+5000)*10^6)+AE126*10+U126</f>
        <v>6000005156000172</v>
      </c>
      <c r="AH126" s="44">
        <f t="shared" ref="AH126:AH128" si="57">LARGE($AG$125:$AG$128,U126)</f>
        <v>5000005141000214</v>
      </c>
      <c r="AI126" s="90">
        <f>MATCH(AH126,$AG$125:$AG$128,0)</f>
        <v>4</v>
      </c>
      <c r="AJ126" s="44"/>
      <c r="AK126" s="44"/>
    </row>
    <row r="127" spans="3:37" ht="15.75" thickBot="1">
      <c r="C127" s="40">
        <f>IF(OR(F127="",H127=""),"",IF(F127=H127,1,IF(F127&lt;H127,0,IF(F127-H127&lt;10,2,IF(F127&gt;H127,3,SE)))))</f>
        <v>2</v>
      </c>
      <c r="D127" s="30" t="s">
        <v>16</v>
      </c>
      <c r="E127" s="31" t="str">
        <f t="shared" si="44"/>
        <v>Kadosh o2</v>
      </c>
      <c r="F127" s="31">
        <f t="shared" si="45"/>
        <v>3</v>
      </c>
      <c r="G127" s="31">
        <f t="shared" si="46"/>
        <v>2</v>
      </c>
      <c r="H127" s="32">
        <f t="shared" si="47"/>
        <v>0</v>
      </c>
      <c r="I127" s="32">
        <f t="shared" si="48"/>
        <v>1</v>
      </c>
      <c r="J127" s="32">
        <f t="shared" si="49"/>
        <v>0</v>
      </c>
      <c r="K127" s="32">
        <f t="shared" si="50"/>
        <v>2</v>
      </c>
      <c r="L127" s="32">
        <f t="shared" si="51"/>
        <v>163</v>
      </c>
      <c r="M127" s="32">
        <f t="shared" si="52"/>
        <v>178</v>
      </c>
      <c r="N127" s="31">
        <f t="shared" si="53"/>
        <v>-15</v>
      </c>
      <c r="O127" s="33">
        <f t="shared" si="54"/>
        <v>0.22222222222222221</v>
      </c>
      <c r="Q127" s="40"/>
      <c r="R127" s="47"/>
      <c r="S127" s="19" t="s">
        <v>38</v>
      </c>
      <c r="T127" s="40"/>
      <c r="U127" s="45">
        <v>3</v>
      </c>
      <c r="V127" s="44" t="str">
        <f>IF(OR('1ª fase'!K36="",'1ª fase'!M36=""),"VENCEDOR J14",IF('1ª fase'!K36&gt;'1ª fase'!M36,'1ª fase'!C36,'1ª fase'!N36))</f>
        <v>Papa Goiabas FC</v>
      </c>
      <c r="W127" s="44">
        <f>COUNT(H145,F140,F134)</f>
        <v>3</v>
      </c>
      <c r="X127" s="44">
        <f>SUM(C134,C140,Q145)</f>
        <v>2</v>
      </c>
      <c r="Y127" s="44">
        <f>SUM(COUNTIFS($C$133:$C$147,3,$D$133:$D$147,V127),COUNTIFS($I$133:$I$147,V127,$Q$133:$Q$147,3))</f>
        <v>0</v>
      </c>
      <c r="Z127" s="44">
        <f>SUM(COUNTIFS($C$133:$C$147,2,$D$133:$D$147,V127),COUNTIFS($I$133:$I$147,V127,$Q$133:$Q$147,2))</f>
        <v>1</v>
      </c>
      <c r="AA127" s="44">
        <f>SUM(COUNTIFS($C$133:$C$147,1,$D$133:$D$147,V127),COUNTIFS($I$133:$I$147,V127,$Q$133:$Q$147,1))</f>
        <v>0</v>
      </c>
      <c r="AB127" s="44">
        <f>SUM(COUNTIFS($C$133:$C$147,0,$D$133:$D$147,V127),COUNTIFS($I$133:$I$147,V127,$Q$133:$Q$147,0))</f>
        <v>2</v>
      </c>
      <c r="AC127" s="121">
        <f>SUM(H145,F140,F134)</f>
        <v>153</v>
      </c>
      <c r="AD127" s="121">
        <f>SUM(H134,H140,F145)</f>
        <v>176</v>
      </c>
      <c r="AE127" s="121">
        <f t="shared" si="55"/>
        <v>-23</v>
      </c>
      <c r="AF127" s="121">
        <f>IF(OR($F$133="",$H$133=""),0,(X127/(W127*3)))</f>
        <v>0.22222222222222221</v>
      </c>
      <c r="AG127" s="44">
        <f t="shared" si="56"/>
        <v>2000005152999773</v>
      </c>
      <c r="AH127" s="44">
        <f t="shared" si="57"/>
        <v>2000005162999851</v>
      </c>
      <c r="AI127" s="90">
        <f t="shared" ref="AI127:AI128" si="58">MATCH(AH127,$AG$125:$AG$128,0)</f>
        <v>1</v>
      </c>
      <c r="AJ127" s="44"/>
      <c r="AK127" s="44"/>
    </row>
    <row r="128" spans="3:37" ht="15.75" thickBot="1">
      <c r="C128" s="40">
        <f>IF(OR(F128="",H128=""),"",IF(F128=H128,1,IF(F128&lt;H128,0,IF(F128-H128&lt;10,2,IF(F128&gt;H128,3,SE)))))</f>
        <v>2</v>
      </c>
      <c r="D128" s="12" t="s">
        <v>17</v>
      </c>
      <c r="E128" s="6" t="str">
        <f t="shared" si="44"/>
        <v>Papa Goiabas FC</v>
      </c>
      <c r="F128" s="6">
        <f t="shared" si="45"/>
        <v>3</v>
      </c>
      <c r="G128" s="6">
        <f t="shared" si="46"/>
        <v>2</v>
      </c>
      <c r="H128" s="7">
        <f t="shared" si="47"/>
        <v>0</v>
      </c>
      <c r="I128" s="7">
        <f t="shared" si="48"/>
        <v>1</v>
      </c>
      <c r="J128" s="7">
        <f t="shared" si="49"/>
        <v>0</v>
      </c>
      <c r="K128" s="7">
        <f t="shared" si="50"/>
        <v>2</v>
      </c>
      <c r="L128" s="7">
        <f t="shared" si="51"/>
        <v>153</v>
      </c>
      <c r="M128" s="7">
        <f t="shared" si="52"/>
        <v>176</v>
      </c>
      <c r="N128" s="6">
        <f t="shared" si="53"/>
        <v>-23</v>
      </c>
      <c r="O128" s="15">
        <f t="shared" si="54"/>
        <v>0.22222222222222221</v>
      </c>
      <c r="Q128" s="40"/>
      <c r="R128" s="48"/>
      <c r="S128" s="41" t="s">
        <v>37</v>
      </c>
      <c r="T128" s="40"/>
      <c r="U128" s="45">
        <v>4</v>
      </c>
      <c r="V128" s="44" t="str">
        <f>IF(OR('1ª fase'!K35="",'1ª fase'!M35=""),"VENCEDOR J13",IF('1ª fase'!K35&gt;'1ª fase'!M35,'1ª fase'!C35,'1ª fase'!N35))</f>
        <v>FC Douglas Leal</v>
      </c>
      <c r="W128" s="44">
        <f>COUNT(F133,F139,F145)</f>
        <v>3</v>
      </c>
      <c r="X128" s="44">
        <f>SUM(C133,C139,C145)</f>
        <v>5</v>
      </c>
      <c r="Y128" s="44">
        <f>SUM(COUNTIFS($C$133:$C$147,3,$D$133:$D$147,V128),COUNTIFS($I$133:$I$147,V128,$Q$133:$Q$147,3))</f>
        <v>1</v>
      </c>
      <c r="Z128" s="44">
        <f>SUM(COUNTIFS($C$133:$C$147,2,$D$133:$D$147,V128),COUNTIFS($I$133:$I$147,V128,$Q$133:$Q$147,2))</f>
        <v>1</v>
      </c>
      <c r="AA128" s="44">
        <f>SUM(COUNTIFS($C$133:$C$147,1,$D$133:$D$147,V128),COUNTIFS($I$133:$I$147,V128,$Q$133:$Q$147,1))</f>
        <v>0</v>
      </c>
      <c r="AB128" s="44">
        <f>SUM(COUNTIFS($C$133:$C$147,0,$D$133:$D$147,V128),COUNTIFS($I$133:$I$147,V128,$Q$133:$Q$147,0))</f>
        <v>1</v>
      </c>
      <c r="AC128" s="121">
        <f>SUM(F133,F139,F145)</f>
        <v>141</v>
      </c>
      <c r="AD128" s="121">
        <f>SUM(H145,H139,H133)</f>
        <v>120</v>
      </c>
      <c r="AE128" s="121">
        <f t="shared" si="55"/>
        <v>21</v>
      </c>
      <c r="AF128" s="121">
        <f>IF(OR($F$133="",$H$133=""),0,(X128/(W128*3)))</f>
        <v>0.55555555555555558</v>
      </c>
      <c r="AG128" s="44">
        <f t="shared" si="56"/>
        <v>5000005141000214</v>
      </c>
      <c r="AH128" s="44">
        <f t="shared" si="57"/>
        <v>2000005152999773</v>
      </c>
      <c r="AI128" s="90">
        <f t="shared" si="58"/>
        <v>3</v>
      </c>
      <c r="AJ128" s="44"/>
      <c r="AK128" s="44"/>
    </row>
    <row r="129" spans="3:37" ht="15.75" thickBot="1">
      <c r="C129" s="40" t="str">
        <f>IF(OR(F129="",H129=""),"",IF(F129=H129,1,IF(F129&lt;H129,0,IF(F129-H129&lt;10,2,IF(F129&gt;H129,3,SE)))))</f>
        <v/>
      </c>
      <c r="Q129" s="40" t="str">
        <f>IF(OR(H129="",F129=""),"",IF(H129=F129,1,IF(H129&lt;F129,0,IF(H129-F129&lt;10,2,IF(H129&gt;F129,3,SE)))))</f>
        <v/>
      </c>
      <c r="T129" s="40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</row>
    <row r="130" spans="3:37">
      <c r="C130" s="40" t="str">
        <f>IF(OR(F130="",H130=""),"",IF(F130=H130,1,IF(F130&lt;H130,0,IF(F130-H130&lt;10,2,IF(F130&gt;H130,3,SE)))))</f>
        <v/>
      </c>
      <c r="D130" s="198" t="s">
        <v>160</v>
      </c>
      <c r="E130" s="199"/>
      <c r="F130" s="199"/>
      <c r="G130" s="199"/>
      <c r="H130" s="199"/>
      <c r="I130" s="199"/>
      <c r="J130" s="199"/>
      <c r="K130" s="199"/>
      <c r="L130" s="199"/>
      <c r="M130" s="199"/>
      <c r="N130" s="199"/>
      <c r="O130" s="199"/>
      <c r="P130" s="200"/>
      <c r="Q130" s="40" t="str">
        <f>IF(OR(H130="",F130=""),"",IF(H130=F130,1,IF(H130&lt;F130,0,IF(H130-F130&lt;10,2,IF(H130&gt;F130,3,SE)))))</f>
        <v/>
      </c>
      <c r="T130" s="40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</row>
    <row r="131" spans="3:37" ht="15.75" thickBot="1">
      <c r="C131" s="40" t="str">
        <f>IF(OR(F131="",H131=""),"",IF(F131=H131,1,IF(F131&lt;H131,0,IF(F131-H131&lt;10,2,IF(F131&gt;H131,3,SE)))))</f>
        <v/>
      </c>
      <c r="D131" s="204"/>
      <c r="E131" s="205"/>
      <c r="F131" s="205"/>
      <c r="G131" s="205"/>
      <c r="H131" s="205"/>
      <c r="I131" s="205"/>
      <c r="J131" s="205"/>
      <c r="K131" s="205"/>
      <c r="L131" s="205"/>
      <c r="M131" s="205"/>
      <c r="N131" s="205"/>
      <c r="O131" s="205"/>
      <c r="P131" s="206"/>
      <c r="Q131" s="40" t="str">
        <f>IF(OR(H131="",F131=""),"",IF(H131=F131,1,IF(H131&lt;F131,0,IF(H131-F131&lt;10,2,IF(H131&gt;F131,3,SE)))))</f>
        <v/>
      </c>
      <c r="T131" s="40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</row>
    <row r="132" spans="3:37">
      <c r="C132" s="40" t="str">
        <f>IF(OR(F132="",H132=""),"",IF(F132=H132,1,IF(F132&lt;H132,0,IF(F132-H132&lt;10,2,IF(F132&gt;H132,3,SE)))))</f>
        <v/>
      </c>
      <c r="Q132" s="40" t="str">
        <f>IF(OR(H132="",F132=""),"",IF(H132=F132,1,IF(H132&lt;F132,0,IF(H132-F132&lt;10,2,IF(H132&gt;F132,3,SE)))))</f>
        <v/>
      </c>
      <c r="T132" s="40"/>
      <c r="U132" s="44"/>
      <c r="V132" s="44"/>
      <c r="W132" s="44"/>
      <c r="X132" s="45"/>
      <c r="Y132" s="45"/>
      <c r="Z132" s="45"/>
      <c r="AA132" s="45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</row>
    <row r="133" spans="3:37">
      <c r="C133" s="40">
        <f>IF(OR(F133="",H133=""),"",IF(F133=H133,1,IF(F133&lt;H133,0,IF(F133-H133&lt;10,2,IF(F133&gt;H133,3,SE)))))</f>
        <v>2</v>
      </c>
      <c r="D133" s="197" t="str">
        <f>V128</f>
        <v>FC Douglas Leal</v>
      </c>
      <c r="E133" s="197"/>
      <c r="F133" s="141">
        <v>49</v>
      </c>
      <c r="G133" s="17" t="s">
        <v>19</v>
      </c>
      <c r="H133" s="140">
        <v>44</v>
      </c>
      <c r="I133" s="197" t="str">
        <f>V125</f>
        <v>Kadosh o2</v>
      </c>
      <c r="J133" s="197"/>
      <c r="K133" s="197"/>
      <c r="L133" s="197"/>
      <c r="M133" s="197"/>
      <c r="N133" s="197"/>
      <c r="O133" s="197"/>
      <c r="P133" s="197"/>
      <c r="Q133" s="40">
        <f>IF(OR(H133="",F133=""),"",IF(H133=F133,1,IF(H133&lt;F133,0,IF(H133-F133&lt;10,2,IF(H133&gt;F133,3,SE)))))</f>
        <v>0</v>
      </c>
      <c r="T133" s="40"/>
      <c r="U133" s="44"/>
      <c r="V133" s="44"/>
      <c r="W133" s="44"/>
      <c r="X133" s="45"/>
      <c r="Y133" s="45"/>
      <c r="Z133" s="45"/>
      <c r="AA133" s="45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</row>
    <row r="134" spans="3:37">
      <c r="C134" s="40">
        <f>IF(OR(F134="",H134=""),"",IF(F134=H134,1,IF(F134&lt;H134,0,IF(F134-H134&lt;10,2,IF(F134&gt;H134,3,SE)))))</f>
        <v>0</v>
      </c>
      <c r="D134" s="197" t="str">
        <f>V127</f>
        <v>Papa Goiabas FC</v>
      </c>
      <c r="E134" s="197"/>
      <c r="F134" s="140">
        <v>39</v>
      </c>
      <c r="G134" s="17" t="s">
        <v>19</v>
      </c>
      <c r="H134" s="141">
        <v>65</v>
      </c>
      <c r="I134" s="197" t="str">
        <f>V126</f>
        <v>Belmiro Village SFC</v>
      </c>
      <c r="J134" s="197"/>
      <c r="K134" s="197"/>
      <c r="L134" s="197"/>
      <c r="M134" s="197"/>
      <c r="N134" s="197"/>
      <c r="O134" s="197"/>
      <c r="P134" s="197"/>
      <c r="Q134" s="40">
        <f>IF(OR(H134="",F134=""),"",IF(H134=F134,1,IF(H134&lt;F134,0,IF(H134-F134&lt;10,2,IF(H134&gt;F134,3,SE)))))</f>
        <v>3</v>
      </c>
      <c r="R134" s="40"/>
      <c r="S134" s="40"/>
      <c r="T134" s="40"/>
      <c r="U134" s="44"/>
      <c r="V134" s="44"/>
      <c r="W134" s="44"/>
      <c r="X134" s="45"/>
      <c r="Y134" s="45"/>
      <c r="Z134" s="45"/>
      <c r="AA134" s="45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</row>
    <row r="135" spans="3:37" ht="15.75" thickBot="1">
      <c r="C135" s="40" t="str">
        <f>IF(OR(F135="",H135=""),"",IF(F135=H135,1,IF(F135&lt;H135,0,IF(F135-H135&lt;10,2,IF(F135&gt;H135,3,SE)))))</f>
        <v/>
      </c>
      <c r="Q135" s="40" t="str">
        <f>IF(OR(H135="",F135=""),"",IF(H135=F135,1,IF(H135&lt;F135,0,IF(H135-F135&lt;10,2,IF(H135&gt;F135,3,SE)))))</f>
        <v/>
      </c>
      <c r="R135" s="40"/>
      <c r="S135" s="40"/>
      <c r="T135" s="40"/>
      <c r="U135" s="44"/>
      <c r="V135" s="44"/>
      <c r="W135" s="44"/>
      <c r="X135" s="45"/>
      <c r="Y135" s="45"/>
      <c r="Z135" s="45"/>
      <c r="AA135" s="45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</row>
    <row r="136" spans="3:37">
      <c r="C136" s="40" t="str">
        <f>IF(OR(F136="",H136=""),"",IF(F136=H136,1,IF(F136&lt;H136,0,IF(F136-H136&lt;10,2,IF(F136&gt;H136,3,SE)))))</f>
        <v/>
      </c>
      <c r="D136" s="207" t="s">
        <v>161</v>
      </c>
      <c r="E136" s="208"/>
      <c r="F136" s="208"/>
      <c r="G136" s="208"/>
      <c r="H136" s="208"/>
      <c r="I136" s="208"/>
      <c r="J136" s="208"/>
      <c r="K136" s="208"/>
      <c r="L136" s="208"/>
      <c r="M136" s="208"/>
      <c r="N136" s="208"/>
      <c r="O136" s="208"/>
      <c r="P136" s="209"/>
      <c r="Q136" s="40" t="str">
        <f>IF(OR(H136="",F136=""),"",IF(H136=F136,1,IF(H136&lt;F136,0,IF(H136-F136&lt;10,2,IF(H136&gt;F136,3,SE)))))</f>
        <v/>
      </c>
      <c r="R136" s="40"/>
      <c r="S136" s="40"/>
      <c r="T136" s="40"/>
      <c r="U136" s="44"/>
      <c r="V136" s="44"/>
      <c r="W136" s="44"/>
      <c r="X136" s="45"/>
      <c r="Y136" s="45"/>
      <c r="Z136" s="45"/>
      <c r="AA136" s="45"/>
      <c r="AB136" s="90"/>
      <c r="AC136" s="44"/>
      <c r="AD136" s="44"/>
      <c r="AE136" s="44"/>
      <c r="AF136" s="44"/>
      <c r="AG136" s="44"/>
      <c r="AH136" s="44"/>
      <c r="AI136" s="44"/>
      <c r="AJ136" s="44"/>
      <c r="AK136" s="44"/>
    </row>
    <row r="137" spans="3:37" ht="15.75" thickBot="1">
      <c r="C137" s="40" t="str">
        <f>IF(OR(F137="",H137=""),"",IF(F137=H137,1,IF(F137&lt;H137,0,IF(F137-H137&lt;10,2,IF(F137&gt;H137,3,SE)))))</f>
        <v/>
      </c>
      <c r="D137" s="210"/>
      <c r="E137" s="211"/>
      <c r="F137" s="211"/>
      <c r="G137" s="211"/>
      <c r="H137" s="211"/>
      <c r="I137" s="211"/>
      <c r="J137" s="211"/>
      <c r="K137" s="211"/>
      <c r="L137" s="211"/>
      <c r="M137" s="211"/>
      <c r="N137" s="211"/>
      <c r="O137" s="211"/>
      <c r="P137" s="212"/>
      <c r="Q137" s="40" t="str">
        <f>IF(OR(H137="",F137=""),"",IF(H137=F137,1,IF(H137&lt;F137,0,IF(H137-F137&lt;10,2,IF(H137&gt;F137,3,SE)))))</f>
        <v/>
      </c>
      <c r="R137" s="40"/>
      <c r="S137" s="40"/>
      <c r="T137" s="40"/>
      <c r="U137" s="44"/>
      <c r="V137" s="44"/>
      <c r="W137" s="44"/>
      <c r="X137" s="44"/>
      <c r="Y137" s="90"/>
      <c r="Z137" s="90"/>
      <c r="AA137" s="90"/>
      <c r="AB137" s="90"/>
      <c r="AC137" s="44"/>
      <c r="AD137" s="44"/>
      <c r="AE137" s="44"/>
      <c r="AF137" s="44"/>
      <c r="AG137" s="44"/>
      <c r="AH137" s="44"/>
      <c r="AI137" s="44"/>
      <c r="AJ137" s="44"/>
      <c r="AK137" s="44"/>
    </row>
    <row r="138" spans="3:37">
      <c r="C138" s="40" t="str">
        <f>IF(OR(F138="",H138=""),"",IF(F138=H138,1,IF(F138&lt;H138,0,IF(F138-H138&lt;10,2,IF(F138&gt;H138,3,SE)))))</f>
        <v/>
      </c>
      <c r="Q138" s="40" t="str">
        <f>IF(OR(H138="",F138=""),"",IF(H138=F138,1,IF(H138&lt;F138,0,IF(H138-F138&lt;10,2,IF(H138&gt;F138,3,SE)))))</f>
        <v/>
      </c>
      <c r="R138" s="40"/>
      <c r="S138" s="40"/>
      <c r="T138" s="40"/>
      <c r="U138" s="44"/>
      <c r="V138" s="44"/>
      <c r="W138" s="44"/>
      <c r="X138" s="44"/>
      <c r="Y138" s="90"/>
      <c r="Z138" s="90"/>
      <c r="AA138" s="90"/>
      <c r="AB138" s="90"/>
      <c r="AC138" s="44"/>
      <c r="AD138" s="44"/>
      <c r="AE138" s="44"/>
      <c r="AF138" s="44"/>
      <c r="AG138" s="44"/>
      <c r="AH138" s="44"/>
      <c r="AI138" s="44"/>
      <c r="AJ138" s="44"/>
      <c r="AK138" s="44"/>
    </row>
    <row r="139" spans="3:37">
      <c r="C139" s="40">
        <f>IF(OR(F139="",H139=""),"",IF(F139=H139,1,IF(F139&lt;H139,0,IF(F139-H139&lt;10,2,IF(F139&gt;H139,3,SE)))))</f>
        <v>3</v>
      </c>
      <c r="D139" s="197" t="str">
        <f>V128</f>
        <v>FC Douglas Leal</v>
      </c>
      <c r="E139" s="197"/>
      <c r="F139" s="141">
        <v>58</v>
      </c>
      <c r="G139" s="18" t="s">
        <v>19</v>
      </c>
      <c r="H139" s="140">
        <v>37</v>
      </c>
      <c r="I139" s="197" t="str">
        <f>V126</f>
        <v>Belmiro Village SFC</v>
      </c>
      <c r="J139" s="197"/>
      <c r="K139" s="197"/>
      <c r="L139" s="197"/>
      <c r="M139" s="197"/>
      <c r="N139" s="197"/>
      <c r="O139" s="197"/>
      <c r="P139" s="197"/>
      <c r="Q139" s="40">
        <f>IF(OR(H139="",F139=""),"",IF(H139=F139,1,IF(H139&lt;F139,0,IF(H139-F139&lt;10,2,IF(H139&gt;F139,3,SE)))))</f>
        <v>0</v>
      </c>
      <c r="R139" s="40"/>
      <c r="S139" s="40"/>
      <c r="T139" s="40"/>
      <c r="U139" s="44"/>
      <c r="V139" s="44"/>
      <c r="W139" s="44"/>
      <c r="X139" s="44"/>
      <c r="Y139" s="90"/>
      <c r="Z139" s="90"/>
      <c r="AA139" s="90"/>
      <c r="AB139" s="90"/>
      <c r="AC139" s="44"/>
      <c r="AD139" s="44"/>
      <c r="AE139" s="44"/>
      <c r="AF139" s="44"/>
      <c r="AG139" s="44"/>
      <c r="AH139" s="44"/>
      <c r="AI139" s="44"/>
      <c r="AJ139" s="44"/>
      <c r="AK139" s="44"/>
    </row>
    <row r="140" spans="3:37">
      <c r="C140" s="40">
        <f>IF(OR(F140="",H140=""),"",IF(F140=H140,1,IF(F140&lt;H140,0,IF(F140-H140&lt;10,2,IF(F140&gt;H140,3,SE)))))</f>
        <v>0</v>
      </c>
      <c r="D140" s="197" t="str">
        <f>V127</f>
        <v>Papa Goiabas FC</v>
      </c>
      <c r="E140" s="197"/>
      <c r="F140" s="140">
        <v>75</v>
      </c>
      <c r="G140" s="18" t="s">
        <v>19</v>
      </c>
      <c r="H140" s="141">
        <v>77</v>
      </c>
      <c r="I140" s="197" t="str">
        <f>V125</f>
        <v>Kadosh o2</v>
      </c>
      <c r="J140" s="197"/>
      <c r="K140" s="197"/>
      <c r="L140" s="197"/>
      <c r="M140" s="197"/>
      <c r="N140" s="197"/>
      <c r="O140" s="197"/>
      <c r="P140" s="197"/>
      <c r="Q140" s="40">
        <f>IF(OR(H140="",F140=""),"",IF(H140=F140,1,IF(H140&lt;F140,0,IF(H140-F140&lt;10,2,IF(H140&gt;F140,3,SE)))))</f>
        <v>2</v>
      </c>
      <c r="R140" s="40"/>
      <c r="S140" s="40"/>
      <c r="T140" s="40"/>
      <c r="U140" s="44"/>
      <c r="V140" s="44"/>
      <c r="W140" s="44"/>
      <c r="X140" s="44"/>
      <c r="Y140" s="90"/>
      <c r="Z140" s="90"/>
      <c r="AA140" s="90"/>
      <c r="AB140" s="90"/>
      <c r="AC140" s="44"/>
      <c r="AD140" s="44"/>
      <c r="AE140" s="44"/>
      <c r="AF140" s="44"/>
      <c r="AG140" s="44"/>
      <c r="AH140" s="44"/>
      <c r="AI140" s="44"/>
      <c r="AJ140" s="44"/>
      <c r="AK140" s="44"/>
    </row>
    <row r="141" spans="3:37" ht="15.75" thickBot="1">
      <c r="C141" s="40" t="str">
        <f>IF(OR(F141="",H141=""),"",IF(F141=H141,1,IF(F141&lt;H141,0,IF(F141-H141&lt;10,2,IF(F141&gt;H141,3,SE)))))</f>
        <v/>
      </c>
      <c r="F141" s="20"/>
      <c r="Q141" s="40" t="str">
        <f>IF(OR(H141="",F141=""),"",IF(H141=F141,1,IF(H141&lt;F141,0,IF(H141-F141&lt;10,2,IF(H141&gt;F141,3,SE)))))</f>
        <v/>
      </c>
      <c r="R141" s="40"/>
      <c r="S141" s="40"/>
      <c r="T141" s="40"/>
      <c r="U141" s="44"/>
      <c r="V141" s="44"/>
      <c r="W141" s="44"/>
      <c r="X141" s="44"/>
      <c r="Y141" s="90"/>
      <c r="Z141" s="90"/>
      <c r="AA141" s="90"/>
      <c r="AB141" s="90"/>
      <c r="AC141" s="44"/>
      <c r="AD141" s="44"/>
      <c r="AE141" s="44"/>
      <c r="AF141" s="44"/>
      <c r="AG141" s="44"/>
      <c r="AH141" s="44"/>
      <c r="AI141" s="44"/>
      <c r="AJ141" s="44"/>
      <c r="AK141" s="44"/>
    </row>
    <row r="142" spans="3:37">
      <c r="C142" s="40" t="str">
        <f>IF(OR(F142="",H142=""),"",IF(F142=H142,1,IF(F142&lt;H142,0,IF(F142-H142&lt;10,2,IF(F142&gt;H142,3,SE)))))</f>
        <v/>
      </c>
      <c r="D142" s="207" t="s">
        <v>162</v>
      </c>
      <c r="E142" s="208"/>
      <c r="F142" s="208"/>
      <c r="G142" s="208"/>
      <c r="H142" s="208"/>
      <c r="I142" s="208"/>
      <c r="J142" s="208"/>
      <c r="K142" s="208"/>
      <c r="L142" s="208"/>
      <c r="M142" s="208"/>
      <c r="N142" s="208"/>
      <c r="O142" s="208"/>
      <c r="P142" s="209"/>
      <c r="Q142" s="40" t="str">
        <f>IF(OR(H142="",F142=""),"",IF(H142=F142,1,IF(H142&lt;F142,0,IF(H142-F142&lt;10,2,IF(H142&gt;F142,3,SE)))))</f>
        <v/>
      </c>
      <c r="R142" s="40"/>
      <c r="S142" s="40"/>
      <c r="T142" s="40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</row>
    <row r="143" spans="3:37" ht="15.75" thickBot="1">
      <c r="C143" s="40" t="str">
        <f>IF(OR(F143="",H143=""),"",IF(F143=H143,1,IF(F143&lt;H143,0,IF(F143-H143&lt;10,2,IF(F143&gt;H143,3,SE)))))</f>
        <v/>
      </c>
      <c r="D143" s="210"/>
      <c r="E143" s="211"/>
      <c r="F143" s="211"/>
      <c r="G143" s="211"/>
      <c r="H143" s="211"/>
      <c r="I143" s="211"/>
      <c r="J143" s="211"/>
      <c r="K143" s="211"/>
      <c r="L143" s="211"/>
      <c r="M143" s="211"/>
      <c r="N143" s="211"/>
      <c r="O143" s="211"/>
      <c r="P143" s="212"/>
      <c r="Q143" s="40" t="str">
        <f>IF(OR(H143="",F143=""),"",IF(H143=F143,1,IF(H143&lt;F143,0,IF(H143-F143&lt;10,2,IF(H143&gt;F143,3,SE)))))</f>
        <v/>
      </c>
      <c r="R143" s="40"/>
      <c r="S143" s="40"/>
      <c r="T143" s="40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</row>
    <row r="144" spans="3:37">
      <c r="C144" s="40" t="str">
        <f>IF(OR(F144="",H144=""),"",IF(F144=H144,1,IF(F144&lt;H144,0,IF(F144-H144&lt;10,2,IF(F144&gt;H144,3,SE)))))</f>
        <v/>
      </c>
      <c r="Q144" s="40" t="str">
        <f>IF(OR(H144="",F144=""),"",IF(H144=F144,1,IF(H144&lt;F144,0,IF(H144-F144&lt;10,2,IF(H144&gt;F144,3,SE)))))</f>
        <v/>
      </c>
      <c r="R144" s="40"/>
      <c r="S144" s="40"/>
      <c r="T144" s="40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</row>
    <row r="145" spans="3:37">
      <c r="C145" s="40">
        <f>IF(OR(F145="",H145=""),"",IF(F145=H145,1,IF(F145&lt;H145,0,IF(F145-H145&lt;10,2,IF(F145&gt;H145,3,SE)))))</f>
        <v>0</v>
      </c>
      <c r="D145" s="197" t="str">
        <f>V128</f>
        <v>FC Douglas Leal</v>
      </c>
      <c r="E145" s="197"/>
      <c r="F145" s="140">
        <v>34</v>
      </c>
      <c r="G145" s="17" t="s">
        <v>19</v>
      </c>
      <c r="H145" s="141">
        <v>39</v>
      </c>
      <c r="I145" s="197" t="str">
        <f>V127</f>
        <v>Papa Goiabas FC</v>
      </c>
      <c r="J145" s="197"/>
      <c r="K145" s="197"/>
      <c r="L145" s="197"/>
      <c r="M145" s="197"/>
      <c r="N145" s="197"/>
      <c r="O145" s="197"/>
      <c r="P145" s="197"/>
      <c r="Q145" s="40">
        <f>IF(OR(H145="",F145=""),"",IF(H145=F145,1,IF(H145&lt;F145,0,IF(H145-F145&lt;10,2,IF(H145&gt;F145,3,SE)))))</f>
        <v>2</v>
      </c>
      <c r="R145" s="40"/>
      <c r="S145" s="40"/>
      <c r="T145" s="40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</row>
    <row r="146" spans="3:37">
      <c r="C146" s="40">
        <f>IF(OR(F146="",H146=""),"",IF(F146=H146,1,IF(F146&lt;H146,0,IF(F146-H146&lt;10,2,IF(F146&gt;H146,3,SE)))))</f>
        <v>3</v>
      </c>
      <c r="D146" s="197" t="str">
        <f>V126</f>
        <v>Belmiro Village SFC</v>
      </c>
      <c r="E146" s="197"/>
      <c r="F146" s="141">
        <v>54</v>
      </c>
      <c r="G146" s="17" t="s">
        <v>19</v>
      </c>
      <c r="H146" s="140">
        <v>42</v>
      </c>
      <c r="I146" s="197" t="str">
        <f>V125</f>
        <v>Kadosh o2</v>
      </c>
      <c r="J146" s="197"/>
      <c r="K146" s="197"/>
      <c r="L146" s="197"/>
      <c r="M146" s="197"/>
      <c r="N146" s="197"/>
      <c r="O146" s="197"/>
      <c r="P146" s="197"/>
      <c r="Q146" s="40">
        <f>IF(OR(H146="",F146=""),"",IF(H146=F146,1,IF(H146&lt;F146,0,IF(H146-F146&lt;10,2,IF(H146&gt;F146,3,SE)))))</f>
        <v>0</v>
      </c>
      <c r="R146" s="40"/>
      <c r="S146" s="40"/>
      <c r="T146" s="40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</row>
    <row r="147" spans="3:37">
      <c r="C147" s="40" t="str">
        <f>IF(OR(F147="",H147=""),"",IF(F147=H147,1,IF(F147&lt;H147,0,IF(F147-H147&lt;10,2,IF(F147&gt;H147,3,SE)))))</f>
        <v/>
      </c>
      <c r="Q147" s="40" t="str">
        <f>IF(OR(H147="",F147=""),"",IF(H147=F147,1,IF(H147&lt;F147,0,IF(H147-F147&lt;10,2,IF(H147&gt;F147,3,SE)))))</f>
        <v/>
      </c>
      <c r="R147" s="40"/>
      <c r="S147" s="40"/>
      <c r="T147" s="40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</row>
    <row r="148" spans="3:37">
      <c r="C148" s="40" t="str">
        <f>IF(OR(F148="",H148=""),"",IF(F148=H148,1,IF(F148&lt;H148,0,IF(F148-H148&lt;10,2,IF(F148&gt;H148,3,SE)))))</f>
        <v/>
      </c>
      <c r="D148" s="21"/>
      <c r="E148" s="21"/>
      <c r="F148" s="22"/>
      <c r="G148" s="23"/>
      <c r="H148" s="22"/>
      <c r="I148" s="21"/>
      <c r="J148" s="21"/>
      <c r="K148" s="21"/>
      <c r="L148" s="21"/>
      <c r="M148" s="21"/>
      <c r="N148" s="21"/>
      <c r="O148" s="21"/>
      <c r="P148" s="21"/>
      <c r="Q148" s="40"/>
      <c r="R148" s="41" t="s">
        <v>5</v>
      </c>
      <c r="S148" s="43"/>
      <c r="T148" s="40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</row>
    <row r="149" spans="3:37">
      <c r="C149" s="40" t="str">
        <f>IF(OR(F149="",H149=""),"",IF(F149=H149,1,IF(F149&lt;H149,0,IF(F149-H149&lt;10,2,IF(F149&gt;H149,3,SE)))))</f>
        <v/>
      </c>
      <c r="D149" s="21"/>
      <c r="E149" s="21"/>
      <c r="F149" s="22"/>
      <c r="G149" s="23"/>
      <c r="H149" s="22"/>
      <c r="I149" s="21"/>
      <c r="J149" s="21"/>
      <c r="K149" s="21"/>
      <c r="L149" s="21"/>
      <c r="M149" s="21"/>
      <c r="N149" s="21"/>
      <c r="O149" s="21"/>
      <c r="P149" s="21"/>
      <c r="Q149" s="40"/>
      <c r="R149" s="41" t="s">
        <v>14</v>
      </c>
      <c r="S149" s="43"/>
      <c r="T149" s="41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</row>
    <row r="150" spans="3:37">
      <c r="C150" s="40" t="str">
        <f>IF(OR(F150="",H150=""),"",IF(F150=H150,1,IF(F150&lt;H150,0,IF(F150-H150&lt;10,2,IF(F150&gt;H150,3,SE)))))</f>
        <v/>
      </c>
      <c r="D150" s="21"/>
      <c r="E150" s="21"/>
      <c r="F150" s="22"/>
      <c r="G150" s="23"/>
      <c r="H150" s="22"/>
      <c r="I150" s="21"/>
      <c r="J150" s="21"/>
      <c r="K150" s="21"/>
      <c r="L150" s="21"/>
      <c r="M150" s="21"/>
      <c r="N150" s="21"/>
      <c r="O150" s="21"/>
      <c r="P150" s="21"/>
      <c r="Q150" s="40"/>
      <c r="R150" s="41" t="s">
        <v>28</v>
      </c>
      <c r="T150" s="41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</row>
    <row r="151" spans="3:37">
      <c r="C151" s="40" t="str">
        <f>IF(OR(F151="",H151=""),"",IF(F151=H151,1,IF(F151&lt;H151,0,IF(F151-H151&lt;10,2,IF(F151&gt;H151,3,SE)))))</f>
        <v/>
      </c>
      <c r="D151" s="21"/>
      <c r="E151" s="21"/>
      <c r="F151" s="22"/>
      <c r="G151" s="23"/>
      <c r="H151" s="22"/>
      <c r="I151" s="21"/>
      <c r="J151" s="21"/>
      <c r="K151" s="21"/>
      <c r="L151" s="21"/>
      <c r="M151" s="21"/>
      <c r="N151" s="21"/>
      <c r="O151" s="21"/>
      <c r="P151" s="21"/>
      <c r="Q151" s="40"/>
      <c r="R151" s="41" t="s">
        <v>29</v>
      </c>
      <c r="S151" s="41"/>
      <c r="T151" s="41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</row>
    <row r="152" spans="3:37">
      <c r="C152" s="40" t="str">
        <f>IF(OR(F152="",H152=""),"",IF(F152=H152,1,IF(F152&lt;H152,0,IF(F152-H152&lt;10,2,IF(F152&gt;H152,3,SE)))))</f>
        <v/>
      </c>
      <c r="D152" s="21"/>
      <c r="E152" s="21"/>
      <c r="F152" s="22"/>
      <c r="G152" s="23"/>
      <c r="H152" s="22"/>
      <c r="I152" s="21"/>
      <c r="J152" s="21"/>
      <c r="K152" s="21"/>
      <c r="L152" s="21"/>
      <c r="M152" s="21"/>
      <c r="N152" s="21"/>
      <c r="O152" s="21"/>
      <c r="P152" s="21"/>
      <c r="Q152" s="40"/>
      <c r="R152" s="41" t="s">
        <v>30</v>
      </c>
      <c r="S152" s="41"/>
      <c r="T152" s="41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</row>
    <row r="153" spans="3:37" ht="15.75" thickBot="1">
      <c r="C153" s="40" t="str">
        <f>IF(OR(F153="",H153=""),"",IF(F153=H153,1,IF(F153&lt;H153,0,IF(F153-H153&lt;10,2,IF(F153&gt;H153,3,SE)))))</f>
        <v/>
      </c>
      <c r="Q153" s="40" t="str">
        <f>IF(OR(H153="",F153=""),"",IF(H153=F153,1,IF(H153&lt;F153,0,IF(H153-F153&lt;10,2,IF(H153&gt;F153,3,SE)))))</f>
        <v/>
      </c>
      <c r="R153" s="41" t="s">
        <v>31</v>
      </c>
      <c r="S153" s="41"/>
      <c r="T153" s="41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</row>
    <row r="154" spans="3:37" ht="15" customHeight="1">
      <c r="C154" s="40" t="str">
        <f>IF(OR(F154="",H154=""),"",IF(F154=H154,1,IF(F154&lt;H154,0,IF(F154-H154&lt;10,2,IF(F154&gt;H154,3,SE)))))</f>
        <v/>
      </c>
      <c r="D154" s="207" t="s">
        <v>163</v>
      </c>
      <c r="E154" s="208"/>
      <c r="F154" s="208"/>
      <c r="G154" s="208"/>
      <c r="H154" s="208"/>
      <c r="I154" s="208"/>
      <c r="J154" s="208"/>
      <c r="K154" s="208"/>
      <c r="L154" s="208"/>
      <c r="M154" s="208"/>
      <c r="N154" s="208"/>
      <c r="O154" s="209"/>
      <c r="Q154" s="40" t="str">
        <f>IF(OR(H154="",F154=""),"",IF(H154=F154,1,IF(H154&lt;F154,0,IF(H154-F154&lt;10,2,IF(H154&gt;F154,3,SE)))))</f>
        <v/>
      </c>
      <c r="R154" s="41" t="s">
        <v>32</v>
      </c>
      <c r="S154" s="41"/>
      <c r="T154" s="41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</row>
    <row r="155" spans="3:37" ht="15.75" customHeight="1" thickBot="1">
      <c r="C155" s="40" t="str">
        <f>IF(OR(F155="",H155=""),"",IF(F155=H155,1,IF(F155&lt;H155,0,IF(F155-H155&lt;10,2,IF(F155&gt;H155,3,SE)))))</f>
        <v/>
      </c>
      <c r="D155" s="210"/>
      <c r="E155" s="211"/>
      <c r="F155" s="211"/>
      <c r="G155" s="211"/>
      <c r="H155" s="211"/>
      <c r="I155" s="211"/>
      <c r="J155" s="211"/>
      <c r="K155" s="211"/>
      <c r="L155" s="211"/>
      <c r="M155" s="211"/>
      <c r="N155" s="211"/>
      <c r="O155" s="212"/>
      <c r="Q155" s="40" t="str">
        <f>IF(OR(H155="",F155=""),"",IF(H155=F155,1,IF(H155&lt;F155,0,IF(H155-F155&lt;10,2,IF(H155&gt;F155,3,SE)))))</f>
        <v/>
      </c>
      <c r="R155" s="41" t="s">
        <v>33</v>
      </c>
      <c r="S155" s="41"/>
      <c r="T155" s="41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</row>
    <row r="156" spans="3:37" ht="15.75" thickBot="1">
      <c r="C156" s="40">
        <f>IF(OR(F156="",H156=""),"",IF(F156=H156,1,IF(F156&lt;H156,0,IF(F156-H156&lt;10,2,IF(F156&gt;H156,3,SE)))))</f>
        <v>0</v>
      </c>
      <c r="D156" s="1" t="s">
        <v>0</v>
      </c>
      <c r="E156" s="2" t="s">
        <v>1</v>
      </c>
      <c r="F156" s="2" t="s">
        <v>21</v>
      </c>
      <c r="G156" s="2" t="s">
        <v>2</v>
      </c>
      <c r="H156" s="2" t="s">
        <v>22</v>
      </c>
      <c r="I156" s="2" t="s">
        <v>23</v>
      </c>
      <c r="J156" s="2" t="s">
        <v>24</v>
      </c>
      <c r="K156" s="2" t="s">
        <v>25</v>
      </c>
      <c r="L156" s="2" t="s">
        <v>27</v>
      </c>
      <c r="M156" s="2" t="s">
        <v>3</v>
      </c>
      <c r="N156" s="2" t="s">
        <v>4</v>
      </c>
      <c r="O156" s="3" t="s">
        <v>26</v>
      </c>
      <c r="Q156" s="40"/>
      <c r="R156" s="41" t="s">
        <v>18</v>
      </c>
      <c r="S156" s="41"/>
      <c r="T156" s="41"/>
      <c r="U156" s="45" t="s">
        <v>0</v>
      </c>
      <c r="V156" s="45" t="s">
        <v>6</v>
      </c>
      <c r="W156" s="45" t="s">
        <v>21</v>
      </c>
      <c r="X156" s="45" t="s">
        <v>2</v>
      </c>
      <c r="Y156" s="45" t="s">
        <v>22</v>
      </c>
      <c r="Z156" s="45" t="s">
        <v>23</v>
      </c>
      <c r="AA156" s="45" t="s">
        <v>24</v>
      </c>
      <c r="AB156" s="45" t="s">
        <v>25</v>
      </c>
      <c r="AC156" s="45" t="s">
        <v>7</v>
      </c>
      <c r="AD156" s="45" t="s">
        <v>8</v>
      </c>
      <c r="AE156" s="45" t="s">
        <v>9</v>
      </c>
      <c r="AF156" s="45" t="s">
        <v>26</v>
      </c>
      <c r="AG156" s="45" t="s">
        <v>10</v>
      </c>
      <c r="AH156" s="45" t="s">
        <v>11</v>
      </c>
      <c r="AI156" s="45" t="s">
        <v>12</v>
      </c>
      <c r="AJ156" s="44"/>
      <c r="AK156" s="44"/>
    </row>
    <row r="157" spans="3:37" ht="15.75" thickBot="1">
      <c r="C157" s="40">
        <f>IF(OR(F157="",H157=""),"",IF(F157=H157,1,IF(F157&lt;H157,0,IF(F157-H157&lt;10,2,IF(F157&gt;H157,3,SE)))))</f>
        <v>2</v>
      </c>
      <c r="D157" s="8" t="s">
        <v>13</v>
      </c>
      <c r="E157" s="9" t="str">
        <f>VLOOKUP(AI157,$U$157:$AH$160,2)</f>
        <v>Yes we cam 1000% fc</v>
      </c>
      <c r="F157" s="9">
        <f>VLOOKUP(AI157,$U$157:$AH$160,3)</f>
        <v>3</v>
      </c>
      <c r="G157" s="9">
        <f>VLOOKUP(AI157,$U$157:$AH$160,4)</f>
        <v>8</v>
      </c>
      <c r="H157" s="10">
        <f>VLOOKUP(AI157,$U$157:$AH$160,5)</f>
        <v>2</v>
      </c>
      <c r="I157" s="10">
        <f>VLOOKUP(AI157,$U$157:$AH$160,6)</f>
        <v>1</v>
      </c>
      <c r="J157" s="10">
        <f>VLOOKUP(AI157,$U$157:$AH$160,7)</f>
        <v>0</v>
      </c>
      <c r="K157" s="10">
        <f>VLOOKUP(AI157,$U$157:$AH$160,8)</f>
        <v>0</v>
      </c>
      <c r="L157" s="10">
        <f>VLOOKUP(AI157,$U$157:$AH$160,9)</f>
        <v>180</v>
      </c>
      <c r="M157" s="10">
        <f>VLOOKUP(AI157,$U$157:$AH$160,10)</f>
        <v>130</v>
      </c>
      <c r="N157" s="9">
        <f>VLOOKUP(AI157,$U$157:$AH$160,11)</f>
        <v>50</v>
      </c>
      <c r="O157" s="16">
        <f>VLOOKUP(AI157,$U$157:$AH$160,12)</f>
        <v>0.88888888888888884</v>
      </c>
      <c r="Q157" s="40"/>
      <c r="R157" s="41" t="s">
        <v>34</v>
      </c>
      <c r="S157" s="41"/>
      <c r="T157" s="41"/>
      <c r="U157" s="45">
        <v>1</v>
      </c>
      <c r="V157" s="44" t="str">
        <f>IF(OR('1ª fase'!K42="",'1ª fase'!M42=""),"VENCEDOR J20",IF('1ª fase'!K42&gt;'1ª fase'!M42,'1ª fase'!C42,'1ª fase'!N42))</f>
        <v xml:space="preserve">ITTU Football Club </v>
      </c>
      <c r="W157" s="44">
        <f>COUNT(H165,H172,H178)</f>
        <v>3</v>
      </c>
      <c r="X157" s="44">
        <f>SUM(Q165,Q172,Q178)</f>
        <v>0</v>
      </c>
      <c r="Y157" s="44">
        <f>SUM(COUNTIFS($C$165:$C$178,3,$D$165:$D$178,V157),COUNTIFS($I$165:$I$178,V157,$Q$165:$Q$178,3))</f>
        <v>0</v>
      </c>
      <c r="Z157" s="44">
        <f>SUM(COUNTIFS($C$165:$C$178,2,$D$165:$D$178,V157),COUNTIFS($I$165:$I$178,V157,$Q$165:$Q$178,2))</f>
        <v>0</v>
      </c>
      <c r="AA157" s="44">
        <f>SUM(COUNTIFS($C$165:$C$178,1,$D$165:$D$178,V157),COUNTIFS($I$165:$I$178,V157,$Q$165:$Q$178,1))</f>
        <v>0</v>
      </c>
      <c r="AB157" s="44">
        <f>SUM(COUNTIFS($C$165:$C$178,0,$D$165:$D$178,V157),COUNTIFS($I$165:$I$178,V157,$Q$165:$Q$178,0))</f>
        <v>3</v>
      </c>
      <c r="AC157" s="121">
        <f>SUM(H165,H172,H178)</f>
        <v>123</v>
      </c>
      <c r="AD157" s="121">
        <f>SUM(F165,F172,F178)</f>
        <v>194</v>
      </c>
      <c r="AE157" s="121">
        <f>AC157-AD157</f>
        <v>-71</v>
      </c>
      <c r="AF157" s="121">
        <f>IF(OR($F$101="",$H$101=""),0,(X157/(W157*3)))</f>
        <v>0</v>
      </c>
      <c r="AG157" s="44">
        <f>(X157*10^10)+((AC157+5000)*10^6)+AE157*10+U157</f>
        <v>5122999291</v>
      </c>
      <c r="AH157" s="44">
        <f>LARGE($AG$157:$AG$160,U157)</f>
        <v>85180000502</v>
      </c>
      <c r="AI157" s="90">
        <f>MATCH(AH157,$AG$157:$AG$160,0)</f>
        <v>2</v>
      </c>
      <c r="AJ157" s="44"/>
      <c r="AK157" s="44"/>
    </row>
    <row r="158" spans="3:37" ht="15.75" thickBot="1">
      <c r="C158" s="40">
        <f>IF(OR(F158="",H158=""),"",IF(F158=H158,1,IF(F158&lt;H158,0,IF(F158-H158&lt;10,2,IF(F158&gt;H158,3,SE)))))</f>
        <v>2</v>
      </c>
      <c r="D158" s="11" t="s">
        <v>15</v>
      </c>
      <c r="E158" s="9" t="str">
        <f>VLOOKUP(AI158,$U$157:$AH$160,2)</f>
        <v>Nacyonal de Marabá</v>
      </c>
      <c r="F158" s="9">
        <f t="shared" ref="F158:F160" si="59">VLOOKUP(AI158,$U$157:$AH$160,3)</f>
        <v>3</v>
      </c>
      <c r="G158" s="9">
        <f t="shared" ref="G158:G160" si="60">VLOOKUP(AI158,$U$157:$AH$160,4)</f>
        <v>6</v>
      </c>
      <c r="H158" s="10">
        <f t="shared" ref="H158:H160" si="61">VLOOKUP(AI158,$U$157:$AH$160,5)</f>
        <v>2</v>
      </c>
      <c r="I158" s="10">
        <f t="shared" ref="I158:I160" si="62">VLOOKUP(AI158,$U$157:$AH$160,6)</f>
        <v>0</v>
      </c>
      <c r="J158" s="10">
        <f t="shared" ref="J158:J160" si="63">VLOOKUP(AI158,$U$157:$AH$160,7)</f>
        <v>0</v>
      </c>
      <c r="K158" s="10">
        <f t="shared" ref="K158:K160" si="64">VLOOKUP(AI158,$U$157:$AH$160,8)</f>
        <v>1</v>
      </c>
      <c r="L158" s="10">
        <f t="shared" ref="L158:L160" si="65">VLOOKUP(AI158,$U$157:$AH$160,9)</f>
        <v>177</v>
      </c>
      <c r="M158" s="10">
        <f t="shared" ref="M158:M160" si="66">VLOOKUP(AI158,$U$157:$AH$160,10)</f>
        <v>140</v>
      </c>
      <c r="N158" s="9">
        <f t="shared" ref="N158:N160" si="67">VLOOKUP(AI158,$U$157:$AH$160,11)</f>
        <v>37</v>
      </c>
      <c r="O158" s="16">
        <f t="shared" ref="O158:O160" si="68">VLOOKUP(AI158,$U$157:$AH$160,12)</f>
        <v>0.66666666666666663</v>
      </c>
      <c r="Q158" s="40"/>
      <c r="R158" s="46"/>
      <c r="S158" s="41" t="s">
        <v>35</v>
      </c>
      <c r="T158" s="41"/>
      <c r="U158" s="45">
        <v>2</v>
      </c>
      <c r="V158" s="44" t="str">
        <f>IF(OR('1ª fase'!K41="",'1ª fase'!M41=""),"VENCEDOR J19",IF('1ª fase'!K41&gt;'1ª fase'!M41,'1ª fase'!C41,'1ª fase'!N41))</f>
        <v>Yes we cam 1000% fc</v>
      </c>
      <c r="W158" s="44">
        <f>COUNT(H166,H171,F178)</f>
        <v>3</v>
      </c>
      <c r="X158" s="44">
        <f>SUM(Q166,Q171,C178)</f>
        <v>8</v>
      </c>
      <c r="Y158" s="44">
        <f t="shared" ref="Y158:Y160" si="69">SUM(COUNTIFS($C$165:$C$178,3,$D$165:$D$178,V158),COUNTIFS($I$165:$I$178,V158,$Q$165:$Q$178,3))</f>
        <v>2</v>
      </c>
      <c r="Z158" s="44">
        <f t="shared" ref="Z158:Z160" si="70">SUM(COUNTIFS($C$165:$C$178,2,$D$165:$D$178,V158),COUNTIFS($I$165:$I$178,V158,$Q$165:$Q$178,2))</f>
        <v>1</v>
      </c>
      <c r="AA158" s="44">
        <f t="shared" ref="AA158:AA160" si="71">SUM(COUNTIFS($C$165:$C$178,1,$D$165:$D$178,V158),COUNTIFS($I$165:$I$178,V158,$Q$165:$Q$178,1))</f>
        <v>0</v>
      </c>
      <c r="AB158" s="44">
        <f t="shared" ref="AB158:AB160" si="72">SUM(COUNTIFS($C$165:$C$178,0,$D$165:$D$178,V158),COUNTIFS($I$165:$I$178,V158,$Q$165:$Q$178,0))</f>
        <v>0</v>
      </c>
      <c r="AC158" s="121">
        <f>SUM(H166,H171,F178)</f>
        <v>180</v>
      </c>
      <c r="AD158" s="121">
        <f>SUM(H178,F171,F166)</f>
        <v>130</v>
      </c>
      <c r="AE158" s="121">
        <f t="shared" ref="AE158:AE160" si="73">AC158-AD158</f>
        <v>50</v>
      </c>
      <c r="AF158" s="121">
        <f t="shared" ref="AF158:AF160" si="74">IF(OR($F$101="",$H$101=""),0,(X158/(W158*3)))</f>
        <v>0.88888888888888884</v>
      </c>
      <c r="AG158" s="44">
        <f>(X158*10^10)+((AC158+5000)*10^6)+AE158*10+U158</f>
        <v>85180000502</v>
      </c>
      <c r="AH158" s="44">
        <f t="shared" ref="AH158:AH160" si="75">LARGE($AG$157:$AG$160,U158)</f>
        <v>65177000374</v>
      </c>
      <c r="AI158" s="90">
        <f t="shared" ref="AI158:AI160" si="76">MATCH(AH158,$AG$157:$AG$160,0)</f>
        <v>4</v>
      </c>
      <c r="AJ158" s="44"/>
      <c r="AK158" s="44"/>
    </row>
    <row r="159" spans="3:37" ht="15.75" thickBot="1">
      <c r="C159" s="40">
        <f>IF(OR(F159="",H159=""),"",IF(F159=H159,1,IF(F159&lt;H159,0,IF(F159-H159&lt;10,2,IF(F159&gt;H159,3,SE)))))</f>
        <v>2</v>
      </c>
      <c r="D159" s="30" t="s">
        <v>16</v>
      </c>
      <c r="E159" s="34" t="str">
        <f t="shared" ref="E159:E160" si="77">VLOOKUP(AI159,$U$157:$AH$160,2)</f>
        <v>Maximum EC</v>
      </c>
      <c r="F159" s="34">
        <f t="shared" si="59"/>
        <v>3</v>
      </c>
      <c r="G159" s="34">
        <f t="shared" si="60"/>
        <v>3</v>
      </c>
      <c r="H159" s="35">
        <f t="shared" si="61"/>
        <v>1</v>
      </c>
      <c r="I159" s="35">
        <f t="shared" si="62"/>
        <v>0</v>
      </c>
      <c r="J159" s="35">
        <f t="shared" si="63"/>
        <v>0</v>
      </c>
      <c r="K159" s="35">
        <f t="shared" si="64"/>
        <v>2</v>
      </c>
      <c r="L159" s="35">
        <f t="shared" si="65"/>
        <v>140</v>
      </c>
      <c r="M159" s="35">
        <f t="shared" si="66"/>
        <v>156</v>
      </c>
      <c r="N159" s="34">
        <f t="shared" si="67"/>
        <v>-16</v>
      </c>
      <c r="O159" s="36">
        <f t="shared" si="68"/>
        <v>0.33333333333333331</v>
      </c>
      <c r="Q159" s="40"/>
      <c r="R159" s="47"/>
      <c r="S159" s="19" t="s">
        <v>38</v>
      </c>
      <c r="T159" s="41"/>
      <c r="U159" s="45">
        <v>3</v>
      </c>
      <c r="V159" s="44" t="str">
        <f>IF(OR('1ª fase'!K40="",'1ª fase'!M40=""),"VENCEDOR J18",IF('1ª fase'!K40&gt;'1ª fase'!M40,'1ª fase'!C40,'1ª fase'!N40))</f>
        <v>Maximum EC</v>
      </c>
      <c r="W159" s="44">
        <f>COUNT(H177,F172,F166)</f>
        <v>3</v>
      </c>
      <c r="X159" s="44">
        <f>SUM(C166,C172,Q177)</f>
        <v>3</v>
      </c>
      <c r="Y159" s="44">
        <f t="shared" si="69"/>
        <v>1</v>
      </c>
      <c r="Z159" s="44">
        <f t="shared" si="70"/>
        <v>0</v>
      </c>
      <c r="AA159" s="44">
        <f t="shared" si="71"/>
        <v>0</v>
      </c>
      <c r="AB159" s="44">
        <f t="shared" si="72"/>
        <v>2</v>
      </c>
      <c r="AC159" s="121">
        <f>SUM(H177,F172,F166)</f>
        <v>140</v>
      </c>
      <c r="AD159" s="121">
        <f>SUM(H166,H172,F177)</f>
        <v>156</v>
      </c>
      <c r="AE159" s="121">
        <f t="shared" si="73"/>
        <v>-16</v>
      </c>
      <c r="AF159" s="121">
        <f t="shared" si="74"/>
        <v>0.33333333333333331</v>
      </c>
      <c r="AG159" s="44">
        <f t="shared" ref="AG159:AG160" si="78">(X159*10^10)+((AC159+5000)*10^6)+AE159*10+U159</f>
        <v>35139999843</v>
      </c>
      <c r="AH159" s="44">
        <f t="shared" si="75"/>
        <v>35139999843</v>
      </c>
      <c r="AI159" s="90">
        <f t="shared" si="76"/>
        <v>3</v>
      </c>
      <c r="AJ159" s="44"/>
      <c r="AK159" s="44"/>
    </row>
    <row r="160" spans="3:37" ht="15.75" thickBot="1">
      <c r="C160" s="40">
        <f>IF(OR(F160="",H160=""),"",IF(F160=H160,1,IF(F160&lt;H160,0,IF(F160-H160&lt;10,2,IF(F160&gt;H160,3,SE)))))</f>
        <v>2</v>
      </c>
      <c r="D160" s="12" t="s">
        <v>17</v>
      </c>
      <c r="E160" s="27" t="str">
        <f t="shared" si="77"/>
        <v xml:space="preserve">ITTU Football Club </v>
      </c>
      <c r="F160" s="27">
        <f t="shared" si="59"/>
        <v>3</v>
      </c>
      <c r="G160" s="27">
        <f t="shared" si="60"/>
        <v>0</v>
      </c>
      <c r="H160" s="28">
        <f t="shared" si="61"/>
        <v>0</v>
      </c>
      <c r="I160" s="28">
        <f t="shared" si="62"/>
        <v>0</v>
      </c>
      <c r="J160" s="28">
        <f t="shared" si="63"/>
        <v>0</v>
      </c>
      <c r="K160" s="28">
        <f t="shared" si="64"/>
        <v>3</v>
      </c>
      <c r="L160" s="28">
        <f t="shared" si="65"/>
        <v>123</v>
      </c>
      <c r="M160" s="28">
        <f t="shared" si="66"/>
        <v>194</v>
      </c>
      <c r="N160" s="27">
        <f t="shared" si="67"/>
        <v>-71</v>
      </c>
      <c r="O160" s="29">
        <f t="shared" si="68"/>
        <v>0</v>
      </c>
      <c r="Q160" s="40"/>
      <c r="R160" s="48"/>
      <c r="S160" s="41" t="s">
        <v>37</v>
      </c>
      <c r="T160" s="41"/>
      <c r="U160" s="45">
        <v>4</v>
      </c>
      <c r="V160" s="44" t="str">
        <f>IF(OR('1ª fase'!K39="",'1ª fase'!M39=""),"VENCEDOR J17",IF('1ª fase'!K39&gt;'1ª fase'!M39,'1ª fase'!C39,'1ª fase'!N39))</f>
        <v>Nacyonal de Marabá</v>
      </c>
      <c r="W160" s="44">
        <f>COUNT(F165,F171,F177)</f>
        <v>3</v>
      </c>
      <c r="X160" s="44">
        <f>SUM(C165,C171,C177)</f>
        <v>6</v>
      </c>
      <c r="Y160" s="44">
        <f t="shared" si="69"/>
        <v>2</v>
      </c>
      <c r="Z160" s="44">
        <f t="shared" si="70"/>
        <v>0</v>
      </c>
      <c r="AA160" s="44">
        <f t="shared" si="71"/>
        <v>0</v>
      </c>
      <c r="AB160" s="44">
        <f t="shared" si="72"/>
        <v>1</v>
      </c>
      <c r="AC160" s="121">
        <f>SUM(F165,F171,F177)</f>
        <v>177</v>
      </c>
      <c r="AD160" s="121">
        <f>SUM(,H177,H171,H165)</f>
        <v>140</v>
      </c>
      <c r="AE160" s="121">
        <f t="shared" si="73"/>
        <v>37</v>
      </c>
      <c r="AF160" s="121">
        <f t="shared" si="74"/>
        <v>0.66666666666666663</v>
      </c>
      <c r="AG160" s="44">
        <f t="shared" si="78"/>
        <v>65177000374</v>
      </c>
      <c r="AH160" s="44">
        <f t="shared" si="75"/>
        <v>5122999291</v>
      </c>
      <c r="AI160" s="90">
        <f t="shared" si="76"/>
        <v>1</v>
      </c>
      <c r="AJ160" s="44"/>
      <c r="AK160" s="44"/>
    </row>
    <row r="161" spans="3:37" ht="15.75" thickBot="1">
      <c r="C161" s="40" t="str">
        <f>IF(OR(F161="",H161=""),"",IF(F161=H161,1,IF(F161&lt;H161,0,IF(F161-H161&lt;10,2,IF(F161&gt;H161,3,SE)))))</f>
        <v/>
      </c>
      <c r="Q161" s="40" t="str">
        <f>IF(OR(H161="",F161=""),"",IF(H161=F161,1,IF(H161&lt;F161,0,IF(H161-F161&lt;10,2,IF(H161&gt;F161,3,SE)))))</f>
        <v/>
      </c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</row>
    <row r="162" spans="3:37">
      <c r="C162" s="40" t="str">
        <f>IF(OR(F162="",H162=""),"",IF(F162=H162,1,IF(F162&lt;H162,0,IF(F162-H162&lt;10,2,IF(F162&gt;H162,3,SE)))))</f>
        <v/>
      </c>
      <c r="D162" s="198" t="s">
        <v>160</v>
      </c>
      <c r="E162" s="199"/>
      <c r="F162" s="199"/>
      <c r="G162" s="199"/>
      <c r="H162" s="199"/>
      <c r="I162" s="199"/>
      <c r="J162" s="199"/>
      <c r="K162" s="199"/>
      <c r="L162" s="199"/>
      <c r="M162" s="199"/>
      <c r="N162" s="199"/>
      <c r="O162" s="199"/>
      <c r="P162" s="200"/>
      <c r="Q162" s="40" t="str">
        <f>IF(OR(H162="",F162=""),"",IF(H162=F162,1,IF(H162&lt;F162,0,IF(H162-F162&lt;10,2,IF(H162&gt;F162,3,SE)))))</f>
        <v/>
      </c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</row>
    <row r="163" spans="3:37" ht="15.75" thickBot="1">
      <c r="C163" s="40" t="str">
        <f>IF(OR(F163="",H163=""),"",IF(F163=H163,1,IF(F163&lt;H163,0,IF(F163-H163&lt;10,2,IF(F163&gt;H163,3,SE)))))</f>
        <v/>
      </c>
      <c r="D163" s="204"/>
      <c r="E163" s="205"/>
      <c r="F163" s="205"/>
      <c r="G163" s="205"/>
      <c r="H163" s="205"/>
      <c r="I163" s="205"/>
      <c r="J163" s="205"/>
      <c r="K163" s="205"/>
      <c r="L163" s="205"/>
      <c r="M163" s="205"/>
      <c r="N163" s="205"/>
      <c r="O163" s="205"/>
      <c r="P163" s="206"/>
      <c r="Q163" s="40" t="str">
        <f>IF(OR(H163="",F163=""),"",IF(H163=F163,1,IF(H163&lt;F163,0,IF(H163-F163&lt;10,2,IF(H163&gt;F163,3,SE)))))</f>
        <v/>
      </c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</row>
    <row r="164" spans="3:37">
      <c r="C164" s="40" t="str">
        <f>IF(OR(F164="",H164=""),"",IF(F164=H164,1,IF(F164&lt;H164,0,IF(F164-H164&lt;10,2,IF(F164&gt;H164,3,SE)))))</f>
        <v/>
      </c>
      <c r="Q164" s="40" t="str">
        <f>IF(OR(H164="",F164=""),"",IF(H164=F164,1,IF(H164&lt;F164,0,IF(H164-F164&lt;10,2,IF(H164&gt;F164,3,SE)))))</f>
        <v/>
      </c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</row>
    <row r="165" spans="3:37">
      <c r="C165" s="40">
        <f>IF(OR(F165="",H165=""),"",IF(F165=H165,1,IF(F165&lt;H165,0,IF(F165-H165&lt;10,2,IF(F165&gt;H165,3,SE)))))</f>
        <v>3</v>
      </c>
      <c r="D165" s="197" t="str">
        <f>V160</f>
        <v>Nacyonal de Marabá</v>
      </c>
      <c r="E165" s="197"/>
      <c r="F165" s="141">
        <v>61</v>
      </c>
      <c r="G165" s="17" t="s">
        <v>19</v>
      </c>
      <c r="H165" s="140">
        <v>37</v>
      </c>
      <c r="I165" s="197" t="str">
        <f>V157</f>
        <v xml:space="preserve">ITTU Football Club </v>
      </c>
      <c r="J165" s="197"/>
      <c r="K165" s="197"/>
      <c r="L165" s="197"/>
      <c r="M165" s="197"/>
      <c r="N165" s="197"/>
      <c r="O165" s="197"/>
      <c r="P165" s="197"/>
      <c r="Q165" s="40">
        <f>IF(OR(H165="",F165=""),"",IF(H165=F165,1,IF(H165&lt;F165,0,IF(H165-F165&lt;10,2,IF(H165&gt;F165,3,SE)))))</f>
        <v>0</v>
      </c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</row>
    <row r="166" spans="3:37">
      <c r="C166" s="40">
        <f>IF(OR(F166="",H166=""),"",IF(F166=H166,1,IF(F166&lt;H166,0,IF(F166-H166&lt;10,2,IF(F166&gt;H166,3,SE)))))</f>
        <v>0</v>
      </c>
      <c r="D166" s="197" t="str">
        <f>V159</f>
        <v>Maximum EC</v>
      </c>
      <c r="E166" s="197"/>
      <c r="F166" s="140">
        <v>31</v>
      </c>
      <c r="G166" s="17" t="s">
        <v>19</v>
      </c>
      <c r="H166" s="141">
        <v>53</v>
      </c>
      <c r="I166" s="197" t="str">
        <f>V158</f>
        <v>Yes we cam 1000% fc</v>
      </c>
      <c r="J166" s="197"/>
      <c r="K166" s="197"/>
      <c r="L166" s="197"/>
      <c r="M166" s="197"/>
      <c r="N166" s="197"/>
      <c r="O166" s="197"/>
      <c r="P166" s="197"/>
      <c r="Q166" s="40">
        <f>IF(OR(H166="",F166=""),"",IF(H166=F166,1,IF(H166&lt;F166,0,IF(H166-F166&lt;10,2,IF(H166&gt;F166,3,SE)))))</f>
        <v>3</v>
      </c>
      <c r="R166" s="41"/>
      <c r="S166" s="41"/>
      <c r="T166" s="41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</row>
    <row r="167" spans="3:37" ht="15.75" thickBot="1">
      <c r="C167" s="40" t="str">
        <f>IF(OR(F167="",H167=""),"",IF(F167=H167,1,IF(F167&lt;H167,0,IF(F167-H167&lt;10,2,IF(F167&gt;H167,3,SE)))))</f>
        <v/>
      </c>
      <c r="Q167" s="40" t="str">
        <f>IF(OR(H167="",F167=""),"",IF(H167=F167,1,IF(H167&lt;F167,0,IF(H167-F167&lt;10,2,IF(H167&gt;F167,3,SE)))))</f>
        <v/>
      </c>
      <c r="R167" s="41"/>
      <c r="S167" s="41"/>
      <c r="T167" s="41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</row>
    <row r="168" spans="3:37">
      <c r="C168" s="40" t="str">
        <f>IF(OR(F168="",H168=""),"",IF(F168=H168,1,IF(F168&lt;H168,0,IF(F168-H168&lt;10,2,IF(F168&gt;H168,3,SE)))))</f>
        <v/>
      </c>
      <c r="D168" s="207" t="s">
        <v>161</v>
      </c>
      <c r="E168" s="208"/>
      <c r="F168" s="208"/>
      <c r="G168" s="208"/>
      <c r="H168" s="208"/>
      <c r="I168" s="208"/>
      <c r="J168" s="208"/>
      <c r="K168" s="208"/>
      <c r="L168" s="208"/>
      <c r="M168" s="208"/>
      <c r="N168" s="208"/>
      <c r="O168" s="208"/>
      <c r="P168" s="209"/>
      <c r="Q168" s="40" t="str">
        <f>IF(OR(H168="",F168=""),"",IF(H168=F168,1,IF(H168&lt;F168,0,IF(H168-F168&lt;10,2,IF(H168&gt;F168,3,SE)))))</f>
        <v/>
      </c>
      <c r="R168" s="41"/>
      <c r="S168" s="41"/>
      <c r="T168" s="41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</row>
    <row r="169" spans="3:37" ht="15.75" thickBot="1">
      <c r="C169" s="40" t="str">
        <f>IF(OR(F169="",H169=""),"",IF(F169=H169,1,IF(F169&lt;H169,0,IF(F169-H169&lt;10,2,IF(F169&gt;H169,3,SE)))))</f>
        <v/>
      </c>
      <c r="D169" s="210"/>
      <c r="E169" s="211"/>
      <c r="F169" s="211"/>
      <c r="G169" s="211"/>
      <c r="H169" s="211"/>
      <c r="I169" s="211"/>
      <c r="J169" s="211"/>
      <c r="K169" s="211"/>
      <c r="L169" s="211"/>
      <c r="M169" s="211"/>
      <c r="N169" s="211"/>
      <c r="O169" s="211"/>
      <c r="P169" s="212"/>
      <c r="Q169" s="40" t="str">
        <f>IF(OR(H169="",F169=""),"",IF(H169=F169,1,IF(H169&lt;F169,0,IF(H169-F169&lt;10,2,IF(H169&gt;F169,3,SE)))))</f>
        <v/>
      </c>
      <c r="R169" s="41"/>
      <c r="S169" s="41"/>
      <c r="T169" s="41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</row>
    <row r="170" spans="3:37">
      <c r="C170" s="40" t="str">
        <f>IF(OR(F170="",H170=""),"",IF(F170=H170,1,IF(F170&lt;H170,0,IF(F170-H170&lt;10,2,IF(F170&gt;H170,3,SE)))))</f>
        <v/>
      </c>
      <c r="Q170" s="40" t="str">
        <f>IF(OR(H170="",F170=""),"",IF(H170=F170,1,IF(H170&lt;F170,0,IF(H170-F170&lt;10,2,IF(H170&gt;F170,3,SE)))))</f>
        <v/>
      </c>
      <c r="R170" s="41"/>
      <c r="S170" s="41"/>
      <c r="T170" s="41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</row>
    <row r="171" spans="3:37">
      <c r="C171" s="40">
        <f>IF(OR(F171="",H171=""),"",IF(F171=H171,1,IF(F171&lt;H171,0,IF(F171-H171&lt;10,2,IF(F171&gt;H171,3,SE)))))</f>
        <v>0</v>
      </c>
      <c r="D171" s="197" t="str">
        <f>V160</f>
        <v>Nacyonal de Marabá</v>
      </c>
      <c r="E171" s="197"/>
      <c r="F171" s="140">
        <v>69</v>
      </c>
      <c r="G171" s="18" t="s">
        <v>19</v>
      </c>
      <c r="H171" s="141">
        <v>71</v>
      </c>
      <c r="I171" s="197" t="str">
        <f>V158</f>
        <v>Yes we cam 1000% fc</v>
      </c>
      <c r="J171" s="197"/>
      <c r="K171" s="197"/>
      <c r="L171" s="197"/>
      <c r="M171" s="197"/>
      <c r="N171" s="197"/>
      <c r="O171" s="197"/>
      <c r="P171" s="197"/>
      <c r="Q171" s="40">
        <f>IF(OR(H171="",F171=""),"",IF(H171=F171,1,IF(H171&lt;F171,0,IF(H171-F171&lt;10,2,IF(H171&gt;F171,3,SE)))))</f>
        <v>2</v>
      </c>
      <c r="R171" s="41"/>
      <c r="S171" s="41"/>
      <c r="T171" s="41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</row>
    <row r="172" spans="3:37">
      <c r="C172" s="40">
        <f>IF(OR(F172="",H172=""),"",IF(F172=H172,1,IF(F172&lt;H172,0,IF(F172-H172&lt;10,2,IF(F172&gt;H172,3,SE)))))</f>
        <v>3</v>
      </c>
      <c r="D172" s="197" t="str">
        <f>V159</f>
        <v>Maximum EC</v>
      </c>
      <c r="E172" s="197"/>
      <c r="F172" s="141">
        <v>77</v>
      </c>
      <c r="G172" s="18" t="s">
        <v>19</v>
      </c>
      <c r="H172" s="140">
        <v>56</v>
      </c>
      <c r="I172" s="197" t="str">
        <f>V157</f>
        <v xml:space="preserve">ITTU Football Club </v>
      </c>
      <c r="J172" s="197"/>
      <c r="K172" s="197"/>
      <c r="L172" s="197"/>
      <c r="M172" s="197"/>
      <c r="N172" s="197"/>
      <c r="O172" s="197"/>
      <c r="P172" s="197"/>
      <c r="Q172" s="40">
        <f>IF(OR(H172="",F172=""),"",IF(H172=F172,1,IF(H172&lt;F172,0,IF(H172-F172&lt;10,2,IF(H172&gt;F172,3,SE)))))</f>
        <v>0</v>
      </c>
      <c r="R172" s="41"/>
      <c r="S172" s="41"/>
      <c r="T172" s="41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</row>
    <row r="173" spans="3:37" ht="15.75" thickBot="1">
      <c r="C173" s="40" t="str">
        <f>IF(OR(F173="",H173=""),"",IF(F173=H173,1,IF(F173&lt;H173,0,IF(F173-H173&lt;10,2,IF(F173&gt;H173,3,SE)))))</f>
        <v/>
      </c>
      <c r="F173" s="20"/>
      <c r="Q173" s="40" t="str">
        <f>IF(OR(H173="",F173=""),"",IF(H173=F173,1,IF(H173&lt;F173,0,IF(H173-F173&lt;10,2,IF(H173&gt;F173,3,SE)))))</f>
        <v/>
      </c>
      <c r="R173" s="41"/>
      <c r="S173" s="41"/>
      <c r="T173" s="41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</row>
    <row r="174" spans="3:37">
      <c r="C174" s="40" t="str">
        <f>IF(OR(F174="",H174=""),"",IF(F174=H174,1,IF(F174&lt;H174,0,IF(F174-H174&lt;10,2,IF(F174&gt;H174,3,SE)))))</f>
        <v/>
      </c>
      <c r="D174" s="207" t="s">
        <v>162</v>
      </c>
      <c r="E174" s="208"/>
      <c r="F174" s="208"/>
      <c r="G174" s="208"/>
      <c r="H174" s="208"/>
      <c r="I174" s="208"/>
      <c r="J174" s="208"/>
      <c r="K174" s="208"/>
      <c r="L174" s="208"/>
      <c r="M174" s="208"/>
      <c r="N174" s="208"/>
      <c r="O174" s="208"/>
      <c r="P174" s="209"/>
      <c r="Q174" s="40" t="str">
        <f>IF(OR(H174="",F174=""),"",IF(H174=F174,1,IF(H174&lt;F174,0,IF(H174-F174&lt;10,2,IF(H174&gt;F174,3,SE)))))</f>
        <v/>
      </c>
      <c r="R174" s="41"/>
      <c r="S174" s="41"/>
      <c r="T174" s="41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</row>
    <row r="175" spans="3:37" ht="15.75" thickBot="1">
      <c r="C175" s="40" t="str">
        <f>IF(OR(F175="",H175=""),"",IF(F175=H175,1,IF(F175&lt;H175,0,IF(F175-H175&lt;10,2,IF(F175&gt;H175,3,SE)))))</f>
        <v/>
      </c>
      <c r="D175" s="210"/>
      <c r="E175" s="211"/>
      <c r="F175" s="211"/>
      <c r="G175" s="211"/>
      <c r="H175" s="211"/>
      <c r="I175" s="211"/>
      <c r="J175" s="211"/>
      <c r="K175" s="211"/>
      <c r="L175" s="211"/>
      <c r="M175" s="211"/>
      <c r="N175" s="211"/>
      <c r="O175" s="211"/>
      <c r="P175" s="212"/>
      <c r="Q175" s="40" t="str">
        <f>IF(OR(H175="",F175=""),"",IF(H175=F175,1,IF(H175&lt;F175,0,IF(H175-F175&lt;10,2,IF(H175&gt;F175,3,SE)))))</f>
        <v/>
      </c>
      <c r="R175" s="41"/>
      <c r="S175" s="41"/>
      <c r="T175" s="41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</row>
    <row r="176" spans="3:37">
      <c r="C176" s="40" t="str">
        <f>IF(OR(F176="",H176=""),"",IF(F176=H176,1,IF(F176&lt;H176,0,IF(F176-H176&lt;10,2,IF(F176&gt;H176,3,SE)))))</f>
        <v/>
      </c>
      <c r="Q176" s="40" t="str">
        <f>IF(OR(H176="",F176=""),"",IF(H176=F176,1,IF(H176&lt;F176,0,IF(H176-F176&lt;10,2,IF(H176&gt;F176,3,SE)))))</f>
        <v/>
      </c>
      <c r="R176" s="41"/>
      <c r="S176" s="41"/>
      <c r="T176" s="41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</row>
    <row r="177" spans="3:37">
      <c r="C177" s="40">
        <f>IF(OR(F177="",H177=""),"",IF(F177=H177,1,IF(F177&lt;H177,0,IF(F177-H177&lt;10,2,IF(F177&gt;H177,3,SE)))))</f>
        <v>3</v>
      </c>
      <c r="D177" s="197" t="str">
        <f>V160</f>
        <v>Nacyonal de Marabá</v>
      </c>
      <c r="E177" s="197"/>
      <c r="F177" s="141">
        <v>47</v>
      </c>
      <c r="G177" s="18" t="s">
        <v>19</v>
      </c>
      <c r="H177" s="140">
        <v>32</v>
      </c>
      <c r="I177" s="197" t="str">
        <f>V159</f>
        <v>Maximum EC</v>
      </c>
      <c r="J177" s="197"/>
      <c r="K177" s="197"/>
      <c r="L177" s="197"/>
      <c r="M177" s="197"/>
      <c r="N177" s="197"/>
      <c r="O177" s="197"/>
      <c r="P177" s="197"/>
      <c r="Q177" s="40">
        <f>IF(OR(H177="",F177=""),"",IF(H177=F177,1,IF(H177&lt;F177,0,IF(H177-F177&lt;10,2,IF(H177&gt;F177,3,SE)))))</f>
        <v>0</v>
      </c>
      <c r="R177" s="41"/>
      <c r="S177" s="41"/>
      <c r="T177" s="41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</row>
    <row r="178" spans="3:37">
      <c r="C178" s="40">
        <f>IF(OR(F178="",H178=""),"",IF(F178=H178,1,IF(F178&lt;H178,0,IF(F178-H178&lt;10,2,IF(F178&gt;H178,3,SE)))))</f>
        <v>3</v>
      </c>
      <c r="D178" s="197" t="str">
        <f>V158</f>
        <v>Yes we cam 1000% fc</v>
      </c>
      <c r="E178" s="197"/>
      <c r="F178" s="141">
        <v>56</v>
      </c>
      <c r="G178" s="18" t="s">
        <v>19</v>
      </c>
      <c r="H178" s="140">
        <v>30</v>
      </c>
      <c r="I178" s="197" t="str">
        <f>V157</f>
        <v xml:space="preserve">ITTU Football Club </v>
      </c>
      <c r="J178" s="197"/>
      <c r="K178" s="197"/>
      <c r="L178" s="197"/>
      <c r="M178" s="197"/>
      <c r="N178" s="197"/>
      <c r="O178" s="197"/>
      <c r="P178" s="197"/>
      <c r="Q178" s="40">
        <f>IF(OR(H178="",F178=""),"",IF(H178=F178,1,IF(H178&lt;F178,0,IF(H178-F178&lt;10,2,IF(H178&gt;F178,3,SE)))))</f>
        <v>0</v>
      </c>
      <c r="R178" s="41"/>
      <c r="S178" s="41"/>
      <c r="T178" s="41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</row>
    <row r="179" spans="3:37">
      <c r="C179" s="40" t="str">
        <f>IF(OR(F179="",H179=""),"",IF(F179=H179,1,IF(F179&lt;H179,0,IF(F179-H179&lt;10,2,IF(F179&gt;H179,3,SE)))))</f>
        <v/>
      </c>
      <c r="Q179" s="40" t="str">
        <f>IF(OR(H179="",F179=""),"",IF(H179=F179,1,IF(H179&lt;F179,0,IF(H179-F179&lt;10,2,IF(H179&gt;F179,3,SE)))))</f>
        <v/>
      </c>
      <c r="R179" s="41"/>
      <c r="S179" s="41"/>
      <c r="T179" s="41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</row>
    <row r="180" spans="3:37">
      <c r="C180" s="40" t="str">
        <f>IF(OR(F180="",H180=""),"",IF(F180=H180,1,IF(F180&lt;H180,0,IF(F180-H180&lt;10,2,IF(F180&gt;H180,3,SE)))))</f>
        <v/>
      </c>
      <c r="D180" s="21"/>
      <c r="E180" s="21"/>
      <c r="F180" s="22"/>
      <c r="G180" s="23"/>
      <c r="H180" s="22"/>
      <c r="I180" s="21"/>
      <c r="J180" s="21"/>
      <c r="K180" s="21"/>
      <c r="L180" s="21"/>
      <c r="M180" s="21"/>
      <c r="N180" s="21"/>
      <c r="O180" s="21"/>
      <c r="P180" s="21"/>
      <c r="Q180" s="40"/>
      <c r="R180" s="41" t="s">
        <v>5</v>
      </c>
      <c r="S180" s="43"/>
      <c r="T180" s="41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</row>
    <row r="181" spans="3:37">
      <c r="C181" s="40" t="str">
        <f>IF(OR(F181="",H181=""),"",IF(F181=H181,1,IF(F181&lt;H181,0,IF(F181-H181&lt;10,2,IF(F181&gt;H181,3,SE)))))</f>
        <v/>
      </c>
      <c r="D181" s="21"/>
      <c r="E181" s="21"/>
      <c r="F181" s="22"/>
      <c r="G181" s="23"/>
      <c r="H181" s="22"/>
      <c r="I181" s="21"/>
      <c r="J181" s="21"/>
      <c r="K181" s="21"/>
      <c r="L181" s="21"/>
      <c r="M181" s="21"/>
      <c r="N181" s="21"/>
      <c r="O181" s="21"/>
      <c r="P181" s="21"/>
      <c r="Q181" s="40"/>
      <c r="R181" s="41" t="s">
        <v>14</v>
      </c>
      <c r="S181" s="43"/>
      <c r="T181" s="41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</row>
    <row r="182" spans="3:37">
      <c r="C182" s="40" t="str">
        <f>IF(OR(F182="",H182=""),"",IF(F182=H182,1,IF(F182&lt;H182,0,IF(F182-H182&lt;10,2,IF(F182&gt;H182,3,SE)))))</f>
        <v/>
      </c>
      <c r="D182" s="21"/>
      <c r="E182" s="21"/>
      <c r="F182" s="22"/>
      <c r="G182" s="23"/>
      <c r="H182" s="22"/>
      <c r="I182" s="21"/>
      <c r="J182" s="21"/>
      <c r="K182" s="21"/>
      <c r="L182" s="21"/>
      <c r="M182" s="21"/>
      <c r="N182" s="21"/>
      <c r="O182" s="21"/>
      <c r="P182" s="21"/>
      <c r="Q182" s="40"/>
      <c r="R182" s="41" t="s">
        <v>28</v>
      </c>
      <c r="T182" s="41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</row>
    <row r="183" spans="3:37">
      <c r="C183" s="40" t="str">
        <f>IF(OR(F183="",H183=""),"",IF(F183=H183,1,IF(F183&lt;H183,0,IF(F183-H183&lt;10,2,IF(F183&gt;H183,3,SE)))))</f>
        <v/>
      </c>
      <c r="D183" s="21"/>
      <c r="E183" s="21"/>
      <c r="F183" s="22"/>
      <c r="G183" s="23"/>
      <c r="H183" s="22"/>
      <c r="I183" s="21"/>
      <c r="J183" s="21"/>
      <c r="K183" s="21"/>
      <c r="L183" s="21"/>
      <c r="M183" s="21"/>
      <c r="N183" s="21"/>
      <c r="O183" s="21"/>
      <c r="P183" s="21"/>
      <c r="Q183" s="40"/>
      <c r="R183" s="41" t="s">
        <v>29</v>
      </c>
      <c r="S183" s="41"/>
      <c r="T183" s="41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</row>
    <row r="184" spans="3:37">
      <c r="C184" s="40" t="str">
        <f>IF(OR(F184="",H184=""),"",IF(F184=H184,1,IF(F184&lt;H184,0,IF(F184-H184&lt;10,2,IF(F184&gt;H184,3,SE)))))</f>
        <v/>
      </c>
      <c r="D184" s="21"/>
      <c r="E184" s="21"/>
      <c r="F184" s="22"/>
      <c r="G184" s="23"/>
      <c r="H184" s="22"/>
      <c r="I184" s="21"/>
      <c r="J184" s="21"/>
      <c r="K184" s="21"/>
      <c r="L184" s="21"/>
      <c r="M184" s="21"/>
      <c r="N184" s="21"/>
      <c r="O184" s="21"/>
      <c r="P184" s="21"/>
      <c r="Q184" s="40"/>
      <c r="R184" s="41" t="s">
        <v>30</v>
      </c>
      <c r="S184" s="41"/>
      <c r="T184" s="41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</row>
    <row r="185" spans="3:37" ht="15.75" thickBot="1">
      <c r="C185" s="40" t="str">
        <f>IF(OR(F185="",H185=""),"",IF(F185=H185,1,IF(F185&lt;H185,0,IF(F185-H185&lt;10,2,IF(F185&gt;H185,3,SE)))))</f>
        <v/>
      </c>
      <c r="Q185" s="40" t="str">
        <f>IF(OR(H185="",F185=""),"",IF(H185=F185,1,IF(H185&lt;F185,0,IF(H185-F185&lt;10,2,IF(H185&gt;F185,3,SE)))))</f>
        <v/>
      </c>
      <c r="R185" s="41" t="s">
        <v>31</v>
      </c>
      <c r="S185" s="41"/>
      <c r="T185" s="41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</row>
    <row r="186" spans="3:37" ht="15" customHeight="1">
      <c r="C186" s="40" t="str">
        <f>IF(OR(F186="",H186=""),"",IF(F186=H186,1,IF(F186&lt;H186,0,IF(F186-H186&lt;10,2,IF(F186&gt;H186,3,SE)))))</f>
        <v/>
      </c>
      <c r="D186" s="198" t="s">
        <v>164</v>
      </c>
      <c r="E186" s="199"/>
      <c r="F186" s="199"/>
      <c r="G186" s="199"/>
      <c r="H186" s="199"/>
      <c r="I186" s="199"/>
      <c r="J186" s="199"/>
      <c r="K186" s="199"/>
      <c r="L186" s="199"/>
      <c r="M186" s="199"/>
      <c r="N186" s="199"/>
      <c r="O186" s="200"/>
      <c r="Q186" s="40" t="str">
        <f>IF(OR(H186="",F186=""),"",IF(H186=F186,1,IF(H186&lt;F186,0,IF(H186-F186&lt;10,2,IF(H186&gt;F186,3,SE)))))</f>
        <v/>
      </c>
      <c r="R186" s="41" t="s">
        <v>32</v>
      </c>
      <c r="S186" s="41"/>
      <c r="T186" s="41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</row>
    <row r="187" spans="3:37" ht="15.75" customHeight="1">
      <c r="C187" s="40" t="str">
        <f>IF(OR(F187="",H187=""),"",IF(F187=H187,1,IF(F187&lt;H187,0,IF(F187-H187&lt;10,2,IF(F187&gt;H187,3,SE)))))</f>
        <v/>
      </c>
      <c r="D187" s="201"/>
      <c r="E187" s="202"/>
      <c r="F187" s="202"/>
      <c r="G187" s="202"/>
      <c r="H187" s="202"/>
      <c r="I187" s="202"/>
      <c r="J187" s="202"/>
      <c r="K187" s="202"/>
      <c r="L187" s="202"/>
      <c r="M187" s="202"/>
      <c r="N187" s="202"/>
      <c r="O187" s="203"/>
      <c r="Q187" s="40" t="str">
        <f>IF(OR(H187="",F187=""),"",IF(H187=F187,1,IF(H187&lt;F187,0,IF(H187-F187&lt;10,2,IF(H187&gt;F187,3,SE)))))</f>
        <v/>
      </c>
      <c r="R187" s="41" t="s">
        <v>33</v>
      </c>
      <c r="S187" s="41"/>
      <c r="T187" s="40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</row>
    <row r="188" spans="3:37" ht="15.75" thickBot="1">
      <c r="C188" s="40">
        <f>IF(OR(F188="",H188=""),"",IF(F188=H188,1,IF(F188&lt;H188,0,IF(F188-H188&lt;10,2,IF(F188&gt;H188,3,SE)))))</f>
        <v>0</v>
      </c>
      <c r="D188" s="24" t="s">
        <v>0</v>
      </c>
      <c r="E188" s="25" t="s">
        <v>1</v>
      </c>
      <c r="F188" s="25" t="s">
        <v>21</v>
      </c>
      <c r="G188" s="25" t="s">
        <v>2</v>
      </c>
      <c r="H188" s="25" t="s">
        <v>22</v>
      </c>
      <c r="I188" s="25" t="s">
        <v>23</v>
      </c>
      <c r="J188" s="25" t="s">
        <v>24</v>
      </c>
      <c r="K188" s="25" t="s">
        <v>25</v>
      </c>
      <c r="L188" s="25" t="s">
        <v>27</v>
      </c>
      <c r="M188" s="25" t="s">
        <v>3</v>
      </c>
      <c r="N188" s="25" t="s">
        <v>4</v>
      </c>
      <c r="O188" s="26" t="s">
        <v>26</v>
      </c>
      <c r="Q188" s="40"/>
      <c r="R188" s="41" t="s">
        <v>18</v>
      </c>
      <c r="S188" s="41"/>
      <c r="T188" s="40"/>
      <c r="U188" s="45" t="s">
        <v>0</v>
      </c>
      <c r="V188" s="45" t="s">
        <v>6</v>
      </c>
      <c r="W188" s="45" t="s">
        <v>21</v>
      </c>
      <c r="X188" s="45" t="s">
        <v>2</v>
      </c>
      <c r="Y188" s="45" t="s">
        <v>22</v>
      </c>
      <c r="Z188" s="45" t="s">
        <v>23</v>
      </c>
      <c r="AA188" s="45" t="s">
        <v>24</v>
      </c>
      <c r="AB188" s="45" t="s">
        <v>25</v>
      </c>
      <c r="AC188" s="45" t="s">
        <v>7</v>
      </c>
      <c r="AD188" s="45" t="s">
        <v>8</v>
      </c>
      <c r="AE188" s="45" t="s">
        <v>9</v>
      </c>
      <c r="AF188" s="45" t="s">
        <v>26</v>
      </c>
      <c r="AG188" s="45" t="s">
        <v>10</v>
      </c>
      <c r="AH188" s="45" t="s">
        <v>11</v>
      </c>
      <c r="AI188" s="45" t="s">
        <v>12</v>
      </c>
      <c r="AJ188" s="44"/>
      <c r="AK188" s="44"/>
    </row>
    <row r="189" spans="3:37" ht="15.75" thickBot="1">
      <c r="C189" s="40">
        <f>IF(OR(F189="",H189=""),"",IF(F189=H189,1,IF(F189&lt;H189,0,IF(F189-H189&lt;10,2,IF(F189&gt;H189,3,SE)))))</f>
        <v>2</v>
      </c>
      <c r="D189" s="8" t="s">
        <v>13</v>
      </c>
      <c r="E189" s="9" t="str">
        <f>VLOOKUP(AI189,$U$189:$AH$192,2)</f>
        <v>Raça Fl@ FC</v>
      </c>
      <c r="F189" s="9">
        <f>VLOOKUP(AI189,$U$189:$AH$192,3)</f>
        <v>3</v>
      </c>
      <c r="G189" s="9">
        <f>VLOOKUP(AI189,$U$189:$AH$192,4)</f>
        <v>6</v>
      </c>
      <c r="H189" s="10">
        <f>VLOOKUP(AI189,$U$189:$AH$192,5)</f>
        <v>2</v>
      </c>
      <c r="I189" s="10">
        <f>VLOOKUP(AI189,$U$189:$AH$192,6)</f>
        <v>0</v>
      </c>
      <c r="J189" s="10">
        <f>VLOOKUP(AI189,$U$189:$AH$192,7)</f>
        <v>0</v>
      </c>
      <c r="K189" s="10">
        <f>VLOOKUP(AI189,$U$189:$AH$192,8)</f>
        <v>1</v>
      </c>
      <c r="L189" s="10">
        <f>VLOOKUP(AI189,$U$189:$AH$192,9)</f>
        <v>155</v>
      </c>
      <c r="M189" s="10">
        <f>VLOOKUP(AI189,$U$189:$AH$192,10)</f>
        <v>114</v>
      </c>
      <c r="N189" s="9">
        <f>VLOOKUP(AI189,$U$189:$AH$192,11)</f>
        <v>41</v>
      </c>
      <c r="O189" s="16">
        <f>VLOOKUP(AI189,$U$189:$AH$192,12)</f>
        <v>0.66666666666666663</v>
      </c>
      <c r="Q189" s="40"/>
      <c r="R189" s="41" t="s">
        <v>34</v>
      </c>
      <c r="S189" s="41"/>
      <c r="T189" s="40"/>
      <c r="U189" s="45">
        <v>1</v>
      </c>
      <c r="V189" s="44" t="str">
        <f>IF(OR('1ª fase'!K46="",'1ª fase'!M46=""),"VENCEDOR J24",IF('1ª fase'!K46&gt;'1ª fase'!M46,'1ª fase'!C46,'1ª fase'!N46))</f>
        <v>André Fogão</v>
      </c>
      <c r="W189" s="44">
        <f>COUNT(H197,H204,H210)</f>
        <v>3</v>
      </c>
      <c r="X189" s="44">
        <f>SUM(Q197,Q204,Q210)</f>
        <v>1</v>
      </c>
      <c r="Y189" s="44">
        <f>SUM(COUNTIFS($C$194:$C$210,3,$D$194:$D$210,V189),COUNTIFS($I$194:$I$210,V189,$Q$194:$Q$210,3))</f>
        <v>0</v>
      </c>
      <c r="Z189" s="44">
        <f>SUM(COUNTIFS($C$194:$C$210,2,$D$194:$D$210,V189),COUNTIFS($I$194:$I$210,V189,$Q$194:$Q$210,2))</f>
        <v>0</v>
      </c>
      <c r="AA189" s="44">
        <f>SUM(COUNTIFS($C$194:$C$210,1,$D$194:$D$210,V189),COUNTIFS($I$194:$I$210,V189,$Q$194:$Q$210,1))</f>
        <v>1</v>
      </c>
      <c r="AB189" s="44">
        <f>SUM(COUNTIFS($C$194:$C$210,0,$D$194:$D$210,V189),COUNTIFS($I$194:$I$210,V189,$Q$194:$Q$210,0))</f>
        <v>2</v>
      </c>
      <c r="AC189" s="121">
        <f>SUM(H197,H204,H210)</f>
        <v>118</v>
      </c>
      <c r="AD189" s="121">
        <f>SUM(F197,F204,F210)</f>
        <v>160</v>
      </c>
      <c r="AE189" s="121">
        <f>AC189-AD189</f>
        <v>-42</v>
      </c>
      <c r="AF189" s="121">
        <f>IF(OR($F$133="",$H$133=""),0,(X189/(W189*3)))</f>
        <v>0.1111111111111111</v>
      </c>
      <c r="AG189" s="44">
        <f>(X189*10^15)+((AC189+5000)*10^6)+AE189*10+U189</f>
        <v>1000005117999581</v>
      </c>
      <c r="AH189" s="44">
        <f>LARGE($AG$189:$AG$192,U189)</f>
        <v>6000005155000414</v>
      </c>
      <c r="AI189" s="90">
        <f>MATCH(AH189,$AG$189:$AG$192,0)</f>
        <v>4</v>
      </c>
      <c r="AJ189" s="44"/>
      <c r="AK189" s="44"/>
    </row>
    <row r="190" spans="3:37" ht="15.75" thickBot="1">
      <c r="C190" s="40">
        <f>IF(OR(F190="",H190=""),"",IF(F190=H190,1,IF(F190&lt;H190,0,IF(F190-H190&lt;10,2,IF(F190&gt;H190,3,SE)))))</f>
        <v>2</v>
      </c>
      <c r="D190" s="11" t="s">
        <v>15</v>
      </c>
      <c r="E190" s="91" t="str">
        <f t="shared" ref="E190:E192" si="79">VLOOKUP(AI190,$U$189:$AH$192,2)</f>
        <v>E C Barcelama</v>
      </c>
      <c r="F190" s="91">
        <f t="shared" ref="F190:F192" si="80">VLOOKUP(AI190,$U$189:$AH$192,3)</f>
        <v>3</v>
      </c>
      <c r="G190" s="91">
        <f t="shared" ref="G190:G192" si="81">VLOOKUP(AI190,$U$189:$AH$192,4)</f>
        <v>4</v>
      </c>
      <c r="H190" s="92">
        <f t="shared" ref="H190:H192" si="82">VLOOKUP(AI190,$U$189:$AH$192,5)</f>
        <v>0</v>
      </c>
      <c r="I190" s="92">
        <f t="shared" ref="I190:I192" si="83">VLOOKUP(AI190,$U$189:$AH$192,6)</f>
        <v>2</v>
      </c>
      <c r="J190" s="92">
        <f t="shared" ref="J190:J192" si="84">VLOOKUP(AI190,$U$189:$AH$192,7)</f>
        <v>0</v>
      </c>
      <c r="K190" s="92">
        <f t="shared" ref="K190:K192" si="85">VLOOKUP(AI190,$U$189:$AH$192,8)</f>
        <v>1</v>
      </c>
      <c r="L190" s="92">
        <f t="shared" ref="L190:L192" si="86">VLOOKUP(AI190,$U$189:$AH$192,9)</f>
        <v>132</v>
      </c>
      <c r="M190" s="92">
        <f t="shared" ref="M190:M192" si="87">VLOOKUP(AI190,$U$189:$AH$192,10)</f>
        <v>138</v>
      </c>
      <c r="N190" s="91">
        <f t="shared" ref="N190:N192" si="88">VLOOKUP(AI190,$U$189:$AH$192,11)</f>
        <v>-6</v>
      </c>
      <c r="O190" s="93">
        <f t="shared" ref="O190:O192" si="89">VLOOKUP(AI190,$U$189:$AH$192,12)</f>
        <v>0.44444444444444442</v>
      </c>
      <c r="Q190" s="40"/>
      <c r="R190" s="46"/>
      <c r="S190" s="41" t="s">
        <v>35</v>
      </c>
      <c r="T190" s="40"/>
      <c r="U190" s="45">
        <v>2</v>
      </c>
      <c r="V190" s="44" t="str">
        <f>IF(OR('1ª fase'!K45="",'1ª fase'!M45=""),"VENCEDOR J23",IF('1ª fase'!K45&gt;'1ª fase'!M45,'1ª fase'!C45,'1ª fase'!N45))</f>
        <v>Sallen CRVG FC</v>
      </c>
      <c r="W190" s="44">
        <f>COUNT(H198,H203,F210)</f>
        <v>3</v>
      </c>
      <c r="X190" s="44">
        <f>SUM(Q198,Q203,C210)</f>
        <v>3</v>
      </c>
      <c r="Y190" s="44">
        <f t="shared" ref="Y190:Y192" si="90">SUM(COUNTIFS($C$194:$C$210,3,$D$194:$D$210,V190),COUNTIFS($I$194:$I$210,V190,$Q$194:$Q$210,3))</f>
        <v>0</v>
      </c>
      <c r="Z190" s="44">
        <f t="shared" ref="Z190:Z192" si="91">SUM(COUNTIFS($C$194:$C$210,2,$D$194:$D$210,V190),COUNTIFS($I$194:$I$210,V190,$Q$194:$Q$210,2))</f>
        <v>1</v>
      </c>
      <c r="AA190" s="44">
        <f t="shared" ref="AA190:AA192" si="92">SUM(COUNTIFS($C$194:$C$210,1,$D$194:$D$210,V190),COUNTIFS($I$194:$I$210,V190,$Q$194:$Q$210,1))</f>
        <v>1</v>
      </c>
      <c r="AB190" s="44">
        <f t="shared" ref="AB190:AB192" si="93">SUM(COUNTIFS($C$194:$C$210,0,$D$194:$D$210,V190),COUNTIFS($I$194:$I$210,V190,$Q$194:$Q$210,0))</f>
        <v>1</v>
      </c>
      <c r="AC190" s="121">
        <f>SUM(H198,H203,F210)</f>
        <v>140</v>
      </c>
      <c r="AD190" s="121">
        <f>SUM(H210,F203,F198)</f>
        <v>133</v>
      </c>
      <c r="AE190" s="121">
        <f t="shared" ref="AE190:AE192" si="94">AC190-AD190</f>
        <v>7</v>
      </c>
      <c r="AF190" s="121">
        <f>IF(OR($F$133="",$H$133=""),0,(X190/(W190*3)))</f>
        <v>0.33333333333333331</v>
      </c>
      <c r="AG190" s="44">
        <f t="shared" ref="AG190:AG192" si="95">(X190*10^15)+((AC190+5000)*10^6)+AE190*10+U190</f>
        <v>3000005140000072</v>
      </c>
      <c r="AH190" s="44">
        <f t="shared" ref="AH190:AH192" si="96">LARGE($AG$189:$AG$192,U190)</f>
        <v>4000005131999943</v>
      </c>
      <c r="AI190" s="90">
        <f t="shared" ref="AI190:AI192" si="97">MATCH(AH190,$AG$189:$AG$192,0)</f>
        <v>3</v>
      </c>
      <c r="AJ190" s="44"/>
      <c r="AK190" s="44"/>
    </row>
    <row r="191" spans="3:37" ht="15.75" thickBot="1">
      <c r="C191" s="40">
        <f>IF(OR(F191="",H191=""),"",IF(F191=H191,1,IF(F191&lt;H191,0,IF(F191-H191&lt;10,2,IF(F191&gt;H191,3,SE)))))</f>
        <v>2</v>
      </c>
      <c r="D191" s="30" t="s">
        <v>16</v>
      </c>
      <c r="E191" s="31" t="str">
        <f t="shared" si="79"/>
        <v>Sallen CRVG FC</v>
      </c>
      <c r="F191" s="31">
        <f t="shared" si="80"/>
        <v>3</v>
      </c>
      <c r="G191" s="31">
        <f t="shared" si="81"/>
        <v>3</v>
      </c>
      <c r="H191" s="32">
        <f t="shared" si="82"/>
        <v>0</v>
      </c>
      <c r="I191" s="32">
        <f t="shared" si="83"/>
        <v>1</v>
      </c>
      <c r="J191" s="32">
        <f t="shared" si="84"/>
        <v>1</v>
      </c>
      <c r="K191" s="32">
        <f t="shared" si="85"/>
        <v>1</v>
      </c>
      <c r="L191" s="32">
        <f t="shared" si="86"/>
        <v>140</v>
      </c>
      <c r="M191" s="32">
        <f t="shared" si="87"/>
        <v>133</v>
      </c>
      <c r="N191" s="31">
        <f t="shared" si="88"/>
        <v>7</v>
      </c>
      <c r="O191" s="33">
        <f t="shared" si="89"/>
        <v>0.33333333333333331</v>
      </c>
      <c r="Q191" s="40"/>
      <c r="R191" s="47"/>
      <c r="S191" s="19" t="s">
        <v>38</v>
      </c>
      <c r="T191" s="40"/>
      <c r="U191" s="45">
        <v>3</v>
      </c>
      <c r="V191" s="44" t="str">
        <f>IF(OR('1ª fase'!K44="",'1ª fase'!M44=""),"VENCEDOR J22",IF('1ª fase'!K44&gt;'1ª fase'!M44,'1ª fase'!C44,'1ª fase'!N44))</f>
        <v>E C Barcelama</v>
      </c>
      <c r="W191" s="44">
        <f>COUNT(H198,H204,F209)</f>
        <v>3</v>
      </c>
      <c r="X191" s="44">
        <f>SUM(C198,C204,Q209)</f>
        <v>4</v>
      </c>
      <c r="Y191" s="44">
        <f t="shared" si="90"/>
        <v>0</v>
      </c>
      <c r="Z191" s="44">
        <f t="shared" si="91"/>
        <v>2</v>
      </c>
      <c r="AA191" s="44">
        <f t="shared" si="92"/>
        <v>0</v>
      </c>
      <c r="AB191" s="44">
        <f t="shared" si="93"/>
        <v>1</v>
      </c>
      <c r="AC191" s="121">
        <f>SUM(H209,F204,F198)</f>
        <v>132</v>
      </c>
      <c r="AD191" s="121">
        <f>SUM(H198,H204,F209)</f>
        <v>138</v>
      </c>
      <c r="AE191" s="121">
        <f t="shared" si="94"/>
        <v>-6</v>
      </c>
      <c r="AF191" s="121">
        <f>IF(OR($F$133="",$H$133=""),0,(X191/(W191*3)))</f>
        <v>0.44444444444444442</v>
      </c>
      <c r="AG191" s="44">
        <f t="shared" si="95"/>
        <v>4000005131999943</v>
      </c>
      <c r="AH191" s="44">
        <f t="shared" si="96"/>
        <v>3000005140000072</v>
      </c>
      <c r="AI191" s="90">
        <f t="shared" si="97"/>
        <v>2</v>
      </c>
      <c r="AJ191" s="44"/>
      <c r="AK191" s="44"/>
    </row>
    <row r="192" spans="3:37" ht="15.75" thickBot="1">
      <c r="C192" s="40">
        <f>IF(OR(F192="",H192=""),"",IF(F192=H192,1,IF(F192&lt;H192,0,IF(F192-H192&lt;10,2,IF(F192&gt;H192,3,SE)))))</f>
        <v>2</v>
      </c>
      <c r="D192" s="12" t="s">
        <v>17</v>
      </c>
      <c r="E192" s="6" t="str">
        <f t="shared" si="79"/>
        <v>André Fogão</v>
      </c>
      <c r="F192" s="6">
        <f t="shared" si="80"/>
        <v>3</v>
      </c>
      <c r="G192" s="6">
        <f t="shared" si="81"/>
        <v>1</v>
      </c>
      <c r="H192" s="7">
        <f t="shared" si="82"/>
        <v>0</v>
      </c>
      <c r="I192" s="7">
        <f t="shared" si="83"/>
        <v>0</v>
      </c>
      <c r="J192" s="7">
        <f t="shared" si="84"/>
        <v>1</v>
      </c>
      <c r="K192" s="7">
        <f t="shared" si="85"/>
        <v>2</v>
      </c>
      <c r="L192" s="7">
        <f t="shared" si="86"/>
        <v>118</v>
      </c>
      <c r="M192" s="7">
        <f t="shared" si="87"/>
        <v>160</v>
      </c>
      <c r="N192" s="6">
        <f t="shared" si="88"/>
        <v>-42</v>
      </c>
      <c r="O192" s="15">
        <f t="shared" si="89"/>
        <v>0.1111111111111111</v>
      </c>
      <c r="Q192" s="40"/>
      <c r="R192" s="48"/>
      <c r="S192" s="41" t="s">
        <v>37</v>
      </c>
      <c r="T192" s="40"/>
      <c r="U192" s="45">
        <v>4</v>
      </c>
      <c r="V192" s="44" t="str">
        <f>IF(OR('1ª fase'!K43="",'1ª fase'!M43=""),"VENCEDOR J21",IF('1ª fase'!K43&gt;'1ª fase'!M43,'1ª fase'!C43,'1ª fase'!M43))</f>
        <v>Raça Fl@ FC</v>
      </c>
      <c r="W192" s="44">
        <f>COUNT(F197,F203,F209)</f>
        <v>3</v>
      </c>
      <c r="X192" s="44">
        <f>SUM(C197,C203,C209)</f>
        <v>6</v>
      </c>
      <c r="Y192" s="44">
        <f t="shared" si="90"/>
        <v>2</v>
      </c>
      <c r="Z192" s="44">
        <f t="shared" si="91"/>
        <v>0</v>
      </c>
      <c r="AA192" s="44">
        <f t="shared" si="92"/>
        <v>0</v>
      </c>
      <c r="AB192" s="44">
        <f t="shared" si="93"/>
        <v>1</v>
      </c>
      <c r="AC192" s="121">
        <f>SUM(F197,F203,F209)</f>
        <v>155</v>
      </c>
      <c r="AD192" s="121">
        <f>SUM(,H209,H203,H197)</f>
        <v>114</v>
      </c>
      <c r="AE192" s="121">
        <f t="shared" si="94"/>
        <v>41</v>
      </c>
      <c r="AF192" s="121">
        <f>IF(OR($F$133="",$H$133=""),0,(X192/(W192*3)))</f>
        <v>0.66666666666666663</v>
      </c>
      <c r="AG192" s="44">
        <f t="shared" si="95"/>
        <v>6000005155000414</v>
      </c>
      <c r="AH192" s="44">
        <f t="shared" si="96"/>
        <v>1000005117999581</v>
      </c>
      <c r="AI192" s="90">
        <f t="shared" si="97"/>
        <v>1</v>
      </c>
      <c r="AJ192" s="44"/>
      <c r="AK192" s="44"/>
    </row>
    <row r="193" spans="3:37" ht="15.75" thickBot="1">
      <c r="C193" s="40" t="str">
        <f>IF(OR(F193="",H193=""),"",IF(F193=H193,1,IF(F193&lt;H193,0,IF(F193-H193&lt;10,2,IF(F193&gt;H193,3,SE)))))</f>
        <v/>
      </c>
      <c r="Q193" s="40" t="str">
        <f>IF(OR(H193="",F193=""),"",IF(H193=F193,1,IF(H193&lt;F193,0,IF(H193-F193&lt;10,2,IF(H193&gt;F193,3,SE)))))</f>
        <v/>
      </c>
      <c r="T193" s="40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</row>
    <row r="194" spans="3:37">
      <c r="C194" s="40" t="str">
        <f>IF(OR(F194="",H194=""),"",IF(F194=H194,1,IF(F194&lt;H194,0,IF(F194-H194&lt;10,2,IF(F194&gt;H194,3,SE)))))</f>
        <v/>
      </c>
      <c r="D194" s="198" t="s">
        <v>160</v>
      </c>
      <c r="E194" s="199"/>
      <c r="F194" s="199"/>
      <c r="G194" s="199"/>
      <c r="H194" s="199"/>
      <c r="I194" s="199"/>
      <c r="J194" s="199"/>
      <c r="K194" s="199"/>
      <c r="L194" s="199"/>
      <c r="M194" s="199"/>
      <c r="N194" s="199"/>
      <c r="O194" s="199"/>
      <c r="P194" s="200"/>
      <c r="Q194" s="40" t="str">
        <f>IF(OR(H194="",F194=""),"",IF(H194=F194,1,IF(H194&lt;F194,0,IF(H194-F194&lt;10,2,IF(H194&gt;F194,3,SE)))))</f>
        <v/>
      </c>
      <c r="T194" s="40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</row>
    <row r="195" spans="3:37" ht="15.75" thickBot="1">
      <c r="C195" s="40" t="str">
        <f>IF(OR(F195="",H195=""),"",IF(F195=H195,1,IF(F195&lt;H195,0,IF(F195-H195&lt;10,2,IF(F195&gt;H195,3,SE)))))</f>
        <v/>
      </c>
      <c r="D195" s="204"/>
      <c r="E195" s="205"/>
      <c r="F195" s="205"/>
      <c r="G195" s="205"/>
      <c r="H195" s="205"/>
      <c r="I195" s="205"/>
      <c r="J195" s="205"/>
      <c r="K195" s="205"/>
      <c r="L195" s="205"/>
      <c r="M195" s="205"/>
      <c r="N195" s="205"/>
      <c r="O195" s="205"/>
      <c r="P195" s="206"/>
      <c r="Q195" s="40" t="str">
        <f>IF(OR(H195="",F195=""),"",IF(H195=F195,1,IF(H195&lt;F195,0,IF(H195-F195&lt;10,2,IF(H195&gt;F195,3,SE)))))</f>
        <v/>
      </c>
      <c r="T195" s="40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</row>
    <row r="196" spans="3:37">
      <c r="C196" s="40" t="str">
        <f>IF(OR(F196="",H196=""),"",IF(F196=H196,1,IF(F196&lt;H196,0,IF(F196-H196&lt;10,2,IF(F196&gt;H196,3,SE)))))</f>
        <v/>
      </c>
      <c r="Q196" s="40" t="str">
        <f>IF(OR(H196="",F196=""),"",IF(H196=F196,1,IF(H196&lt;F196,0,IF(H196-F196&lt;10,2,IF(H196&gt;F196,3,SE)))))</f>
        <v/>
      </c>
      <c r="T196" s="40"/>
      <c r="V196" s="44"/>
      <c r="W196" s="44"/>
      <c r="X196" s="45"/>
      <c r="Y196" s="45"/>
      <c r="Z196" s="45"/>
      <c r="AA196" s="45"/>
      <c r="AB196" s="44"/>
      <c r="AC196" s="44"/>
      <c r="AD196" s="44"/>
      <c r="AE196" s="44"/>
      <c r="AF196" s="44"/>
      <c r="AG196" s="44"/>
      <c r="AH196" s="44"/>
      <c r="AI196" s="44"/>
      <c r="AJ196" s="44"/>
    </row>
    <row r="197" spans="3:37">
      <c r="C197" s="40">
        <f>IF(OR(F197="",H197=""),"",IF(F197=H197,1,IF(F197&lt;H197,0,IF(F197-H197&lt;10,2,IF(F197&gt;H197,3,SE)))))</f>
        <v>3</v>
      </c>
      <c r="D197" s="197" t="str">
        <f>V192</f>
        <v>Raça Fl@ FC</v>
      </c>
      <c r="E197" s="197"/>
      <c r="F197" s="141">
        <v>53</v>
      </c>
      <c r="G197" s="17" t="s">
        <v>19</v>
      </c>
      <c r="H197" s="140">
        <v>14</v>
      </c>
      <c r="I197" s="197" t="str">
        <f>V189</f>
        <v>André Fogão</v>
      </c>
      <c r="J197" s="197"/>
      <c r="K197" s="197"/>
      <c r="L197" s="197"/>
      <c r="M197" s="197"/>
      <c r="N197" s="197"/>
      <c r="O197" s="197"/>
      <c r="P197" s="197"/>
      <c r="Q197" s="40">
        <f>IF(OR(H197="",F197=""),"",IF(H197=F197,1,IF(H197&lt;F197,0,IF(H197-F197&lt;10,2,IF(H197&gt;F197,3,SE)))))</f>
        <v>0</v>
      </c>
      <c r="T197" s="40"/>
      <c r="V197" s="44"/>
      <c r="W197" s="44"/>
      <c r="X197" s="45"/>
      <c r="Y197" s="45"/>
      <c r="Z197" s="45"/>
      <c r="AA197" s="45"/>
      <c r="AB197" s="44"/>
      <c r="AC197" s="44"/>
      <c r="AD197" s="44"/>
      <c r="AE197" s="44"/>
      <c r="AF197" s="44"/>
      <c r="AG197" s="44"/>
      <c r="AH197" s="44"/>
      <c r="AI197" s="44"/>
      <c r="AJ197" s="44"/>
    </row>
    <row r="198" spans="3:37">
      <c r="C198" s="40">
        <f>IF(OR(F198="",H198=""),"",IF(F198=H198,1,IF(F198&lt;H198,0,IF(F198-H198&lt;10,2,IF(F198&gt;H198,3,SE)))))</f>
        <v>2</v>
      </c>
      <c r="D198" s="197" t="str">
        <f>V191</f>
        <v>E C Barcelama</v>
      </c>
      <c r="E198" s="197"/>
      <c r="F198" s="141">
        <v>33</v>
      </c>
      <c r="G198" s="17" t="s">
        <v>19</v>
      </c>
      <c r="H198" s="140">
        <v>32</v>
      </c>
      <c r="I198" s="197" t="str">
        <f>V190</f>
        <v>Sallen CRVG FC</v>
      </c>
      <c r="J198" s="197"/>
      <c r="K198" s="197"/>
      <c r="L198" s="197"/>
      <c r="M198" s="197"/>
      <c r="N198" s="197"/>
      <c r="O198" s="197"/>
      <c r="P198" s="197"/>
      <c r="Q198" s="40">
        <f>IF(OR(H198="",F198=""),"",IF(H198=F198,1,IF(H198&lt;F198,0,IF(H198-F198&lt;10,2,IF(H198&gt;F198,3,SE)))))</f>
        <v>0</v>
      </c>
      <c r="R198" s="40"/>
      <c r="S198" s="40"/>
      <c r="T198" s="40"/>
      <c r="V198" s="44"/>
      <c r="W198" s="44"/>
      <c r="X198" s="45"/>
      <c r="Y198" s="45"/>
      <c r="Z198" s="45"/>
      <c r="AA198" s="45"/>
      <c r="AB198" s="44"/>
      <c r="AC198" s="44"/>
      <c r="AD198" s="44"/>
      <c r="AE198" s="44"/>
      <c r="AF198" s="44"/>
      <c r="AG198" s="44"/>
      <c r="AH198" s="44"/>
      <c r="AI198" s="44"/>
      <c r="AJ198" s="44"/>
    </row>
    <row r="199" spans="3:37" ht="15.75" thickBot="1">
      <c r="C199" s="40" t="str">
        <f>IF(OR(F199="",H199=""),"",IF(F199=H199,1,IF(F199&lt;H199,0,IF(F199-H199&lt;10,2,IF(F199&gt;H199,3,SE)))))</f>
        <v/>
      </c>
      <c r="Q199" s="40" t="str">
        <f>IF(OR(H199="",F199=""),"",IF(H199=F199,1,IF(H199&lt;F199,0,IF(H199-F199&lt;10,2,IF(H199&gt;F199,3,SE)))))</f>
        <v/>
      </c>
      <c r="R199" s="40"/>
      <c r="S199" s="40"/>
      <c r="T199" s="40"/>
      <c r="V199" s="44"/>
      <c r="W199" s="44"/>
      <c r="X199" s="45"/>
      <c r="Y199" s="45"/>
      <c r="Z199" s="45"/>
      <c r="AA199" s="45"/>
      <c r="AB199" s="44"/>
      <c r="AC199" s="44"/>
      <c r="AD199" s="44"/>
      <c r="AE199" s="44"/>
      <c r="AF199" s="44"/>
      <c r="AG199" s="44"/>
      <c r="AH199" s="44"/>
      <c r="AI199" s="44"/>
      <c r="AJ199" s="44"/>
    </row>
    <row r="200" spans="3:37">
      <c r="C200" s="40" t="str">
        <f>IF(OR(F200="",H200=""),"",IF(F200=H200,1,IF(F200&lt;H200,0,IF(F200-H200&lt;10,2,IF(F200&gt;H200,3,SE)))))</f>
        <v/>
      </c>
      <c r="D200" s="207" t="s">
        <v>161</v>
      </c>
      <c r="E200" s="208"/>
      <c r="F200" s="208"/>
      <c r="G200" s="208"/>
      <c r="H200" s="208"/>
      <c r="I200" s="208"/>
      <c r="J200" s="208"/>
      <c r="K200" s="208"/>
      <c r="L200" s="208"/>
      <c r="M200" s="208"/>
      <c r="N200" s="208"/>
      <c r="O200" s="208"/>
      <c r="P200" s="209"/>
      <c r="Q200" s="40" t="str">
        <f>IF(OR(H200="",F200=""),"",IF(H200=F200,1,IF(H200&lt;F200,0,IF(H200-F200&lt;10,2,IF(H200&gt;F200,3,SE)))))</f>
        <v/>
      </c>
      <c r="R200" s="40"/>
      <c r="S200" s="40"/>
      <c r="T200" s="40"/>
      <c r="V200" s="44"/>
      <c r="W200" s="44"/>
      <c r="X200" s="45"/>
      <c r="Y200" s="45"/>
      <c r="Z200" s="45"/>
      <c r="AA200" s="45"/>
      <c r="AB200" s="90"/>
      <c r="AC200" s="44"/>
      <c r="AD200" s="44"/>
      <c r="AE200" s="44"/>
      <c r="AF200" s="44"/>
      <c r="AG200" s="44"/>
      <c r="AH200" s="44"/>
      <c r="AI200" s="44"/>
      <c r="AJ200" s="44"/>
    </row>
    <row r="201" spans="3:37" ht="15.75" thickBot="1">
      <c r="C201" s="40" t="str">
        <f>IF(OR(F201="",H201=""),"",IF(F201=H201,1,IF(F201&lt;H201,0,IF(F201-H201&lt;10,2,IF(F201&gt;H201,3,SE)))))</f>
        <v/>
      </c>
      <c r="D201" s="210"/>
      <c r="E201" s="211"/>
      <c r="F201" s="211"/>
      <c r="G201" s="211"/>
      <c r="H201" s="211"/>
      <c r="I201" s="211"/>
      <c r="J201" s="211"/>
      <c r="K201" s="211"/>
      <c r="L201" s="211"/>
      <c r="M201" s="211"/>
      <c r="N201" s="211"/>
      <c r="O201" s="211"/>
      <c r="P201" s="212"/>
      <c r="Q201" s="40" t="str">
        <f>IF(OR(H201="",F201=""),"",IF(H201=F201,1,IF(H201&lt;F201,0,IF(H201-F201&lt;10,2,IF(H201&gt;F201,3,SE)))))</f>
        <v/>
      </c>
      <c r="R201" s="40"/>
      <c r="S201" s="40"/>
      <c r="T201" s="40"/>
      <c r="V201" s="44"/>
      <c r="W201" s="44"/>
      <c r="X201" s="44"/>
      <c r="Y201" s="90"/>
      <c r="Z201" s="90"/>
      <c r="AA201" s="90"/>
      <c r="AB201" s="90"/>
      <c r="AC201" s="44"/>
      <c r="AD201" s="44"/>
      <c r="AE201" s="44"/>
      <c r="AF201" s="44"/>
      <c r="AG201" s="44"/>
      <c r="AH201" s="44"/>
      <c r="AI201" s="44"/>
      <c r="AJ201" s="44"/>
    </row>
    <row r="202" spans="3:37">
      <c r="C202" s="40" t="str">
        <f>IF(OR(F202="",H202=""),"",IF(F202=H202,1,IF(F202&lt;H202,0,IF(F202-H202&lt;10,2,IF(F202&gt;H202,3,SE)))))</f>
        <v/>
      </c>
      <c r="Q202" s="40" t="str">
        <f>IF(OR(H202="",F202=""),"",IF(H202=F202,1,IF(H202&lt;F202,0,IF(H202-F202&lt;10,2,IF(H202&gt;F202,3,SE)))))</f>
        <v/>
      </c>
      <c r="R202" s="40"/>
      <c r="S202" s="40"/>
      <c r="T202" s="40"/>
      <c r="V202" s="44"/>
      <c r="W202" s="44"/>
      <c r="X202" s="44"/>
      <c r="Y202" s="90"/>
      <c r="Z202" s="90"/>
      <c r="AA202" s="90"/>
      <c r="AB202" s="90"/>
      <c r="AC202" s="44"/>
      <c r="AD202" s="44"/>
      <c r="AE202" s="44"/>
      <c r="AF202" s="44"/>
      <c r="AG202" s="44"/>
      <c r="AH202" s="44"/>
      <c r="AI202" s="44"/>
      <c r="AJ202" s="44"/>
    </row>
    <row r="203" spans="3:37">
      <c r="C203" s="40">
        <f>IF(OR(F203="",H203=""),"",IF(F203=H203,1,IF(F203&lt;H203,0,IF(F203-H203&lt;10,2,IF(F203&gt;H203,3,SE)))))</f>
        <v>0</v>
      </c>
      <c r="D203" s="197" t="str">
        <f>V192</f>
        <v>Raça Fl@ FC</v>
      </c>
      <c r="E203" s="197"/>
      <c r="F203" s="140">
        <v>61</v>
      </c>
      <c r="G203" s="18" t="s">
        <v>19</v>
      </c>
      <c r="H203" s="141">
        <v>69</v>
      </c>
      <c r="I203" s="197" t="str">
        <f>V190</f>
        <v>Sallen CRVG FC</v>
      </c>
      <c r="J203" s="197"/>
      <c r="K203" s="197"/>
      <c r="L203" s="197"/>
      <c r="M203" s="197"/>
      <c r="N203" s="197"/>
      <c r="O203" s="197"/>
      <c r="P203" s="197"/>
      <c r="Q203" s="40">
        <f>IF(OR(H203="",F203=""),"",IF(H203=F203,1,IF(H203&lt;F203,0,IF(H203-F203&lt;10,2,IF(H203&gt;F203,3,SE)))))</f>
        <v>2</v>
      </c>
      <c r="R203" s="40"/>
      <c r="S203" s="40"/>
      <c r="T203" s="40"/>
      <c r="V203" s="44"/>
      <c r="W203" s="44"/>
      <c r="X203" s="44"/>
      <c r="Y203" s="90"/>
      <c r="Z203" s="90"/>
      <c r="AA203" s="90"/>
      <c r="AB203" s="90"/>
      <c r="AC203" s="44"/>
      <c r="AD203" s="44"/>
      <c r="AE203" s="44"/>
      <c r="AF203" s="44"/>
      <c r="AG203" s="44"/>
      <c r="AH203" s="44"/>
      <c r="AI203" s="44"/>
      <c r="AJ203" s="44"/>
    </row>
    <row r="204" spans="3:37">
      <c r="C204" s="40">
        <f>IF(OR(F204="",H204=""),"",IF(F204=H204,1,IF(F204&lt;H204,0,IF(F204-H204&lt;10,2,IF(F204&gt;H204,3,SE)))))</f>
        <v>2</v>
      </c>
      <c r="D204" s="197" t="str">
        <f>V191</f>
        <v>E C Barcelama</v>
      </c>
      <c r="E204" s="197"/>
      <c r="F204" s="141">
        <v>68</v>
      </c>
      <c r="G204" s="18" t="s">
        <v>19</v>
      </c>
      <c r="H204" s="140">
        <v>65</v>
      </c>
      <c r="I204" s="197" t="str">
        <f>V189</f>
        <v>André Fogão</v>
      </c>
      <c r="J204" s="197"/>
      <c r="K204" s="197"/>
      <c r="L204" s="197"/>
      <c r="M204" s="197"/>
      <c r="N204" s="197"/>
      <c r="O204" s="197"/>
      <c r="P204" s="197"/>
      <c r="Q204" s="40">
        <f>IF(OR(H204="",F204=""),"",IF(H204=F204,1,IF(H204&lt;F204,0,IF(H204-F204&lt;10,2,IF(H204&gt;F204,3,SE)))))</f>
        <v>0</v>
      </c>
      <c r="R204" s="40"/>
      <c r="S204" s="40"/>
      <c r="T204" s="40"/>
      <c r="V204" s="44"/>
      <c r="W204" s="44"/>
      <c r="X204" s="44"/>
      <c r="Y204" s="90"/>
      <c r="Z204" s="90"/>
      <c r="AA204" s="90"/>
      <c r="AB204" s="90"/>
      <c r="AC204" s="44"/>
      <c r="AD204" s="44"/>
      <c r="AE204" s="44"/>
      <c r="AF204" s="44"/>
      <c r="AG204" s="44"/>
      <c r="AH204" s="44"/>
      <c r="AI204" s="44"/>
      <c r="AJ204" s="44"/>
    </row>
    <row r="205" spans="3:37" ht="15.75" thickBot="1">
      <c r="C205" s="40" t="str">
        <f>IF(OR(F205="",H205=""),"",IF(F205=H205,1,IF(F205&lt;H205,0,IF(F205-H205&lt;10,2,IF(F205&gt;H205,3,SE)))))</f>
        <v/>
      </c>
      <c r="F205" s="20"/>
      <c r="Q205" s="40" t="str">
        <f>IF(OR(H205="",F205=""),"",IF(H205=F205,1,IF(H205&lt;F205,0,IF(H205-F205&lt;10,2,IF(H205&gt;F205,3,SE)))))</f>
        <v/>
      </c>
      <c r="R205" s="40"/>
      <c r="S205" s="40"/>
      <c r="T205" s="40"/>
      <c r="V205" s="44"/>
      <c r="W205" s="44"/>
      <c r="X205" s="44"/>
      <c r="Y205" s="90"/>
      <c r="Z205" s="90"/>
      <c r="AA205" s="90"/>
      <c r="AB205" s="90"/>
      <c r="AC205" s="44"/>
      <c r="AD205" s="44"/>
      <c r="AE205" s="44"/>
      <c r="AF205" s="44"/>
      <c r="AG205" s="44"/>
      <c r="AH205" s="44"/>
      <c r="AI205" s="44"/>
      <c r="AJ205" s="44"/>
    </row>
    <row r="206" spans="3:37">
      <c r="C206" s="40" t="str">
        <f>IF(OR(F206="",H206=""),"",IF(F206=H206,1,IF(F206&lt;H206,0,IF(F206-H206&lt;10,2,IF(F206&gt;H206,3,SE)))))</f>
        <v/>
      </c>
      <c r="D206" s="207" t="s">
        <v>162</v>
      </c>
      <c r="E206" s="208"/>
      <c r="F206" s="208"/>
      <c r="G206" s="208"/>
      <c r="H206" s="208"/>
      <c r="I206" s="208"/>
      <c r="J206" s="208"/>
      <c r="K206" s="208"/>
      <c r="L206" s="208"/>
      <c r="M206" s="208"/>
      <c r="N206" s="208"/>
      <c r="O206" s="208"/>
      <c r="P206" s="209"/>
      <c r="Q206" s="40" t="str">
        <f>IF(OR(H206="",F206=""),"",IF(H206=F206,1,IF(H206&lt;F206,0,IF(H206-F206&lt;10,2,IF(H206&gt;F206,3,SE)))))</f>
        <v/>
      </c>
      <c r="R206" s="40"/>
      <c r="S206" s="40"/>
      <c r="T206" s="40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</row>
    <row r="207" spans="3:37" ht="15.75" thickBot="1">
      <c r="C207" s="40" t="str">
        <f>IF(OR(F207="",H207=""),"",IF(F207=H207,1,IF(F207&lt;H207,0,IF(F207-H207&lt;10,2,IF(F207&gt;H207,3,SE)))))</f>
        <v/>
      </c>
      <c r="D207" s="210"/>
      <c r="E207" s="211"/>
      <c r="F207" s="211"/>
      <c r="G207" s="211"/>
      <c r="H207" s="211"/>
      <c r="I207" s="211"/>
      <c r="J207" s="211"/>
      <c r="K207" s="211"/>
      <c r="L207" s="211"/>
      <c r="M207" s="211"/>
      <c r="N207" s="211"/>
      <c r="O207" s="211"/>
      <c r="P207" s="212"/>
      <c r="Q207" s="40" t="str">
        <f>IF(OR(H207="",F207=""),"",IF(H207=F207,1,IF(H207&lt;F207,0,IF(H207-F207&lt;10,2,IF(H207&gt;F207,3,SE)))))</f>
        <v/>
      </c>
      <c r="R207" s="40"/>
      <c r="S207" s="40"/>
      <c r="T207" s="40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</row>
    <row r="208" spans="3:37">
      <c r="C208" s="40" t="str">
        <f>IF(OR(F208="",H208=""),"",IF(F208=H208,1,IF(F208&lt;H208,0,IF(F208-H208&lt;10,2,IF(F208&gt;H208,3,SE)))))</f>
        <v/>
      </c>
      <c r="Q208" s="40" t="str">
        <f>IF(OR(H208="",F208=""),"",IF(H208=F208,1,IF(H208&lt;F208,0,IF(H208-F208&lt;10,2,IF(H208&gt;F208,3,SE)))))</f>
        <v/>
      </c>
      <c r="R208" s="40"/>
      <c r="S208" s="40"/>
      <c r="T208" s="40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</row>
    <row r="209" spans="3:37">
      <c r="C209" s="40">
        <f>IF(OR(F209="",H209=""),"",IF(F209=H209,1,IF(F209&lt;H209,0,IF(F209-H209&lt;10,2,IF(F209&gt;H209,3,SE)))))</f>
        <v>3</v>
      </c>
      <c r="D209" s="197" t="str">
        <f>V192</f>
        <v>Raça Fl@ FC</v>
      </c>
      <c r="E209" s="197"/>
      <c r="F209" s="141">
        <v>41</v>
      </c>
      <c r="G209" s="17" t="s">
        <v>19</v>
      </c>
      <c r="H209" s="140">
        <v>31</v>
      </c>
      <c r="I209" s="197" t="str">
        <f>V191</f>
        <v>E C Barcelama</v>
      </c>
      <c r="J209" s="197"/>
      <c r="K209" s="197"/>
      <c r="L209" s="197"/>
      <c r="M209" s="197"/>
      <c r="N209" s="197"/>
      <c r="O209" s="197"/>
      <c r="P209" s="197"/>
      <c r="Q209" s="40">
        <f>IF(OR(H209="",F209=""),"",IF(H209=F209,1,IF(H209&lt;F209,0,IF(H209-F209&lt;10,2,IF(H209&gt;F209,3,SE)))))</f>
        <v>0</v>
      </c>
      <c r="R209" s="40"/>
      <c r="S209" s="40"/>
      <c r="T209" s="40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</row>
    <row r="210" spans="3:37">
      <c r="C210" s="40">
        <f>IF(OR(F210="",H210=""),"",IF(F210=H210,1,IF(F210&lt;H210,0,IF(F210-H210&lt;10,2,IF(F210&gt;H210,3,SE)))))</f>
        <v>1</v>
      </c>
      <c r="D210" s="197" t="str">
        <f>V190</f>
        <v>Sallen CRVG FC</v>
      </c>
      <c r="E210" s="197"/>
      <c r="F210" s="140">
        <v>39</v>
      </c>
      <c r="G210" s="17" t="s">
        <v>19</v>
      </c>
      <c r="H210" s="140">
        <v>39</v>
      </c>
      <c r="I210" s="197" t="str">
        <f>V189</f>
        <v>André Fogão</v>
      </c>
      <c r="J210" s="197"/>
      <c r="K210" s="197"/>
      <c r="L210" s="197"/>
      <c r="M210" s="197"/>
      <c r="N210" s="197"/>
      <c r="O210" s="197"/>
      <c r="P210" s="197"/>
      <c r="Q210" s="40">
        <f>IF(OR(H210="",F210=""),"",IF(H210=F210,1,IF(H210&lt;F210,0,IF(H210-F210&lt;10,2,IF(H210&gt;F210,3,SE)))))</f>
        <v>1</v>
      </c>
      <c r="R210" s="40"/>
      <c r="S210" s="40"/>
      <c r="T210" s="40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</row>
    <row r="211" spans="3:37">
      <c r="C211" s="40" t="str">
        <f>IF(OR(F211="",H211=""),"",IF(F211=H211,1,IF(F211&lt;H211,0,IF(F211-H211&lt;10,2,IF(F211&gt;H211,3,SE)))))</f>
        <v/>
      </c>
      <c r="Q211" s="40" t="str">
        <f>IF(OR(H211="",F211=""),"",IF(H211=F211,1,IF(H211&lt;F211,0,IF(H211-F211&lt;10,2,IF(H211&gt;F211,3,SE)))))</f>
        <v/>
      </c>
      <c r="R211" s="40"/>
      <c r="S211" s="40"/>
      <c r="T211" s="40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</row>
    <row r="212" spans="3:37">
      <c r="C212" s="40" t="str">
        <f>IF(OR(F212="",H212=""),"",IF(F212=H212,1,IF(F212&lt;H212,0,IF(F212-H212&lt;10,2,IF(F212&gt;H212,3,SE)))))</f>
        <v/>
      </c>
      <c r="D212" s="21"/>
      <c r="E212" s="21"/>
      <c r="F212" s="22"/>
      <c r="G212" s="23"/>
      <c r="H212" s="22"/>
      <c r="I212" s="21"/>
      <c r="J212" s="21"/>
      <c r="K212" s="21"/>
      <c r="L212" s="21"/>
      <c r="M212" s="21"/>
      <c r="N212" s="21"/>
      <c r="O212" s="21"/>
      <c r="P212" s="21"/>
      <c r="Q212" s="40"/>
      <c r="R212" s="41" t="s">
        <v>5</v>
      </c>
      <c r="S212" s="43"/>
      <c r="T212" s="40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</row>
    <row r="213" spans="3:37">
      <c r="C213" s="40" t="str">
        <f>IF(OR(F213="",H213=""),"",IF(F213=H213,1,IF(F213&lt;H213,0,IF(F213-H213&lt;10,2,IF(F213&gt;H213,3,SE)))))</f>
        <v/>
      </c>
      <c r="D213" s="21"/>
      <c r="E213" s="21"/>
      <c r="F213" s="22"/>
      <c r="G213" s="23"/>
      <c r="H213" s="22"/>
      <c r="I213" s="21"/>
      <c r="J213" s="21"/>
      <c r="K213" s="21"/>
      <c r="L213" s="21"/>
      <c r="M213" s="21"/>
      <c r="N213" s="21"/>
      <c r="O213" s="21"/>
      <c r="P213" s="21"/>
      <c r="Q213" s="40"/>
      <c r="R213" s="41" t="s">
        <v>14</v>
      </c>
      <c r="S213" s="43"/>
      <c r="T213" s="41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</row>
    <row r="214" spans="3:37">
      <c r="C214" s="40" t="str">
        <f>IF(OR(F214="",H214=""),"",IF(F214=H214,1,IF(F214&lt;H214,0,IF(F214-H214&lt;10,2,IF(F214&gt;H214,3,SE)))))</f>
        <v/>
      </c>
      <c r="D214" s="21"/>
      <c r="E214" s="21"/>
      <c r="F214" s="22"/>
      <c r="G214" s="23"/>
      <c r="H214" s="22"/>
      <c r="I214" s="21"/>
      <c r="J214" s="21"/>
      <c r="K214" s="21"/>
      <c r="L214" s="21"/>
      <c r="M214" s="21"/>
      <c r="N214" s="21"/>
      <c r="O214" s="21"/>
      <c r="P214" s="21"/>
      <c r="Q214" s="40"/>
      <c r="R214" s="41" t="s">
        <v>28</v>
      </c>
      <c r="T214" s="41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</row>
    <row r="215" spans="3:37">
      <c r="C215" s="40" t="str">
        <f>IF(OR(F215="",H215=""),"",IF(F215=H215,1,IF(F215&lt;H215,0,IF(F215-H215&lt;10,2,IF(F215&gt;H215,3,SE)))))</f>
        <v/>
      </c>
      <c r="D215" s="21"/>
      <c r="E215" s="21"/>
      <c r="F215" s="22"/>
      <c r="G215" s="23"/>
      <c r="H215" s="22"/>
      <c r="I215" s="21"/>
      <c r="J215" s="21"/>
      <c r="K215" s="21"/>
      <c r="L215" s="21"/>
      <c r="M215" s="21"/>
      <c r="N215" s="21"/>
      <c r="O215" s="21"/>
      <c r="P215" s="21"/>
      <c r="Q215" s="40"/>
      <c r="R215" s="41" t="s">
        <v>29</v>
      </c>
      <c r="S215" s="41"/>
      <c r="T215" s="41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</row>
    <row r="216" spans="3:37">
      <c r="C216" s="40" t="str">
        <f>IF(OR(F216="",H216=""),"",IF(F216=H216,1,IF(F216&lt;H216,0,IF(F216-H216&lt;10,2,IF(F216&gt;H216,3,SE)))))</f>
        <v/>
      </c>
      <c r="D216" s="21"/>
      <c r="E216" s="21"/>
      <c r="F216" s="22"/>
      <c r="G216" s="23"/>
      <c r="H216" s="22"/>
      <c r="I216" s="21"/>
      <c r="J216" s="21"/>
      <c r="K216" s="21"/>
      <c r="L216" s="21"/>
      <c r="M216" s="21"/>
      <c r="N216" s="21"/>
      <c r="O216" s="21"/>
      <c r="P216" s="21"/>
      <c r="Q216" s="40"/>
      <c r="R216" s="41" t="s">
        <v>30</v>
      </c>
      <c r="S216" s="41"/>
      <c r="T216" s="41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</row>
    <row r="217" spans="3:37" ht="15.75" thickBot="1">
      <c r="C217" s="40" t="str">
        <f>IF(OR(F217="",H217=""),"",IF(F217=H217,1,IF(F217&lt;H217,0,IF(F217-H217&lt;10,2,IF(F217&gt;H217,3,SE)))))</f>
        <v/>
      </c>
      <c r="Q217" s="40" t="str">
        <f>IF(OR(H217="",F217=""),"",IF(H217=F217,1,IF(H217&lt;F217,0,IF(H217-F217&lt;10,2,IF(H217&gt;F217,3,SE)))))</f>
        <v/>
      </c>
      <c r="R217" s="41" t="s">
        <v>31</v>
      </c>
      <c r="S217" s="41"/>
      <c r="T217" s="41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</row>
    <row r="218" spans="3:37" ht="15" customHeight="1">
      <c r="C218" s="40" t="str">
        <f>IF(OR(F218="",H218=""),"",IF(F218=H218,1,IF(F218&lt;H218,0,IF(F218-H218&lt;10,2,IF(F218&gt;H218,3,SE)))))</f>
        <v/>
      </c>
      <c r="D218" s="207" t="s">
        <v>165</v>
      </c>
      <c r="E218" s="208"/>
      <c r="F218" s="208"/>
      <c r="G218" s="208"/>
      <c r="H218" s="208"/>
      <c r="I218" s="208"/>
      <c r="J218" s="208"/>
      <c r="K218" s="208"/>
      <c r="L218" s="208"/>
      <c r="M218" s="208"/>
      <c r="N218" s="208"/>
      <c r="O218" s="209"/>
      <c r="Q218" s="40" t="str">
        <f>IF(OR(H218="",F218=""),"",IF(H218=F218,1,IF(H218&lt;F218,0,IF(H218-F218&lt;10,2,IF(H218&gt;F218,3,SE)))))</f>
        <v/>
      </c>
      <c r="R218" s="41" t="s">
        <v>32</v>
      </c>
      <c r="S218" s="41"/>
      <c r="T218" s="41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</row>
    <row r="219" spans="3:37" ht="15.75" customHeight="1" thickBot="1">
      <c r="C219" s="40" t="str">
        <f>IF(OR(F219="",H219=""),"",IF(F219=H219,1,IF(F219&lt;H219,0,IF(F219-H219&lt;10,2,IF(F219&gt;H219,3,SE)))))</f>
        <v/>
      </c>
      <c r="D219" s="210"/>
      <c r="E219" s="211"/>
      <c r="F219" s="211"/>
      <c r="G219" s="211"/>
      <c r="H219" s="211"/>
      <c r="I219" s="211"/>
      <c r="J219" s="211"/>
      <c r="K219" s="211"/>
      <c r="L219" s="211"/>
      <c r="M219" s="211"/>
      <c r="N219" s="211"/>
      <c r="O219" s="212"/>
      <c r="Q219" s="40" t="str">
        <f>IF(OR(H219="",F219=""),"",IF(H219=F219,1,IF(H219&lt;F219,0,IF(H219-F219&lt;10,2,IF(H219&gt;F219,3,SE)))))</f>
        <v/>
      </c>
      <c r="R219" s="41" t="s">
        <v>33</v>
      </c>
      <c r="S219" s="41"/>
      <c r="T219" s="41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</row>
    <row r="220" spans="3:37" ht="15.75" thickBot="1">
      <c r="C220" s="40">
        <f>IF(OR(F220="",H220=""),"",IF(F220=H220,1,IF(F220&lt;H220,0,IF(F220-H220&lt;10,2,IF(F220&gt;H220,3,SE)))))</f>
        <v>0</v>
      </c>
      <c r="D220" s="1" t="s">
        <v>0</v>
      </c>
      <c r="E220" s="2" t="s">
        <v>1</v>
      </c>
      <c r="F220" s="2" t="s">
        <v>21</v>
      </c>
      <c r="G220" s="2" t="s">
        <v>2</v>
      </c>
      <c r="H220" s="2" t="s">
        <v>22</v>
      </c>
      <c r="I220" s="2" t="s">
        <v>23</v>
      </c>
      <c r="J220" s="2" t="s">
        <v>24</v>
      </c>
      <c r="K220" s="2" t="s">
        <v>25</v>
      </c>
      <c r="L220" s="2" t="s">
        <v>27</v>
      </c>
      <c r="M220" s="2" t="s">
        <v>3</v>
      </c>
      <c r="N220" s="2" t="s">
        <v>4</v>
      </c>
      <c r="O220" s="3" t="s">
        <v>26</v>
      </c>
      <c r="Q220" s="40"/>
      <c r="R220" s="41" t="s">
        <v>18</v>
      </c>
      <c r="S220" s="41"/>
      <c r="T220" s="41"/>
      <c r="U220" s="45" t="s">
        <v>0</v>
      </c>
      <c r="V220" s="45" t="s">
        <v>6</v>
      </c>
      <c r="W220" s="45" t="s">
        <v>21</v>
      </c>
      <c r="X220" s="45" t="s">
        <v>2</v>
      </c>
      <c r="Y220" s="45" t="s">
        <v>22</v>
      </c>
      <c r="Z220" s="45" t="s">
        <v>23</v>
      </c>
      <c r="AA220" s="45" t="s">
        <v>24</v>
      </c>
      <c r="AB220" s="45" t="s">
        <v>25</v>
      </c>
      <c r="AC220" s="45" t="s">
        <v>7</v>
      </c>
      <c r="AD220" s="45" t="s">
        <v>8</v>
      </c>
      <c r="AE220" s="45" t="s">
        <v>9</v>
      </c>
      <c r="AF220" s="45" t="s">
        <v>26</v>
      </c>
      <c r="AG220" s="45" t="s">
        <v>10</v>
      </c>
      <c r="AH220" s="45" t="s">
        <v>11</v>
      </c>
      <c r="AI220" s="45" t="s">
        <v>12</v>
      </c>
      <c r="AJ220" s="44"/>
      <c r="AK220" s="44"/>
    </row>
    <row r="221" spans="3:37" ht="15.75" thickBot="1">
      <c r="C221" s="40">
        <f>IF(OR(F221="",H221=""),"",IF(F221=H221,1,IF(F221&lt;H221,0,IF(F221-H221&lt;10,2,IF(F221&gt;H221,3,SE)))))</f>
        <v>2</v>
      </c>
      <c r="D221" s="8" t="s">
        <v>13</v>
      </c>
      <c r="E221" s="9" t="str">
        <f>VLOOKUP(AI221,$U$221:$AH$224,2)</f>
        <v>GREMIO CURITIBA</v>
      </c>
      <c r="F221" s="9">
        <f>VLOOKUP(AI221,$U$221:$AH$224,3)</f>
        <v>3</v>
      </c>
      <c r="G221" s="9">
        <f>VLOOKUP(AI221,$U$221:$AH$224,4)</f>
        <v>5</v>
      </c>
      <c r="H221" s="10">
        <f>VLOOKUP(AI221,$U$221:$AH$224,5)</f>
        <v>1</v>
      </c>
      <c r="I221" s="10">
        <f>VLOOKUP(AI221,$U$221:$AH$224,6)</f>
        <v>1</v>
      </c>
      <c r="J221" s="10">
        <f>VLOOKUP(AI221,$U$221:$AH$224,7)</f>
        <v>0</v>
      </c>
      <c r="K221" s="10">
        <f>VLOOKUP(AI221,$U$221:$AH$224,8)</f>
        <v>1</v>
      </c>
      <c r="L221" s="10">
        <f>VLOOKUP(AI221,$U$221:$AH$224,9)</f>
        <v>158</v>
      </c>
      <c r="M221" s="10">
        <f>VLOOKUP(AI221,$U$221:$AH$224,10)</f>
        <v>149</v>
      </c>
      <c r="N221" s="9">
        <f>VLOOKUP(AI221,$U$221:$AH$224,11)</f>
        <v>9</v>
      </c>
      <c r="O221" s="16">
        <f>VLOOKUP(AI221,$U$221:$AH$224,12)</f>
        <v>0.55555555555555558</v>
      </c>
      <c r="Q221" s="40"/>
      <c r="R221" s="41" t="s">
        <v>34</v>
      </c>
      <c r="S221" s="41"/>
      <c r="T221" s="41"/>
      <c r="U221" s="45">
        <v>1</v>
      </c>
      <c r="V221" s="44" t="str">
        <f>IF(OR('1ª fase'!K50="",'1ª fase'!M50=""),"VENCEDOR J28",IF('1ª fase'!K50&gt;'1ª fase'!M50,'1ª fase'!C50,'1ª fase'!N50))</f>
        <v>revolução fc</v>
      </c>
      <c r="W221" s="44">
        <f>COUNT(H229,H236,H242)</f>
        <v>3</v>
      </c>
      <c r="X221" s="44">
        <f>SUM(Q229,Q236,Q242)</f>
        <v>0</v>
      </c>
      <c r="Y221" s="44">
        <f>SUM(COUNTIFS($C$226:$C$242,3,$D$226:$D$242,V221),COUNTIFS($I$226:$I$242,V221,$Q$226:$Q$242,3))</f>
        <v>0</v>
      </c>
      <c r="Z221" s="44">
        <f>SUM(COUNTIFS($C$226:$C$242,2,$D$226:$D$242,V221),COUNTIFS($I$226:$I$242,V221,$Q$226:$Q$242,2))</f>
        <v>0</v>
      </c>
      <c r="AA221" s="44">
        <f>SUM(COUNTIFS($C$226:$C$242,1,$D$226:$D$242,V221),COUNTIFS($I$226:$I$242,V221,$Q$226:$Q$242,1))</f>
        <v>0</v>
      </c>
      <c r="AB221" s="44">
        <f>SUM(COUNTIFS($C$226:$C$242,0,$D$226:$D$242,V221),COUNTIFS($I$226:$I$242,V221,$Q$226:$Q$242,0))</f>
        <v>3</v>
      </c>
      <c r="AC221" s="121">
        <f>SUM(H229,H236,H242)</f>
        <v>134</v>
      </c>
      <c r="AD221" s="121">
        <f>SUM(F229,F236,F242)</f>
        <v>158</v>
      </c>
      <c r="AE221" s="121">
        <f>AC221-AD221</f>
        <v>-24</v>
      </c>
      <c r="AF221" s="121">
        <f>IF(OR($F$101="",$H$101=""),0,(X221/(W221*3)))</f>
        <v>0</v>
      </c>
      <c r="AG221" s="44">
        <f>(X221*10^10)+((AC221+5000)*10^6)+AE221*10+U221</f>
        <v>5133999761</v>
      </c>
      <c r="AH221" s="44">
        <f>LARGE($AG$221:$AG$224,U221)</f>
        <v>55158000094</v>
      </c>
      <c r="AI221" s="90">
        <f>MATCH(AH221,$AG$221:$AG$224,0)</f>
        <v>4</v>
      </c>
      <c r="AJ221" s="44"/>
      <c r="AK221" s="44"/>
    </row>
    <row r="222" spans="3:37" ht="15.75" thickBot="1">
      <c r="C222" s="40">
        <f>IF(OR(F222="",H222=""),"",IF(F222=H222,1,IF(F222&lt;H222,0,IF(F222-H222&lt;10,2,IF(F222&gt;H222,3,SE)))))</f>
        <v>2</v>
      </c>
      <c r="D222" s="11" t="s">
        <v>15</v>
      </c>
      <c r="E222" s="9" t="str">
        <f t="shared" ref="E222:E224" si="98">VLOOKUP(AI222,$U$221:$AH$224,2)</f>
        <v>NARINA SC</v>
      </c>
      <c r="F222" s="9">
        <f t="shared" ref="F222:F224" si="99">VLOOKUP(AI222,$U$221:$AH$224,3)</f>
        <v>3</v>
      </c>
      <c r="G222" s="9">
        <f t="shared" ref="G222:G224" si="100">VLOOKUP(AI222,$U$221:$AH$224,4)</f>
        <v>5</v>
      </c>
      <c r="H222" s="10">
        <f t="shared" ref="H222:H224" si="101">VLOOKUP(AI222,$U$221:$AH$224,5)</f>
        <v>1</v>
      </c>
      <c r="I222" s="10">
        <f t="shared" ref="I222:I224" si="102">VLOOKUP(AI222,$U$221:$AH$224,6)</f>
        <v>1</v>
      </c>
      <c r="J222" s="10">
        <f t="shared" ref="J222:J224" si="103">VLOOKUP(AI222,$U$221:$AH$224,7)</f>
        <v>0</v>
      </c>
      <c r="K222" s="10">
        <f t="shared" ref="K222:K224" si="104">VLOOKUP(AI222,$U$221:$AH$224,8)</f>
        <v>1</v>
      </c>
      <c r="L222" s="10">
        <f t="shared" ref="L222:L224" si="105">VLOOKUP(AI222,$U$221:$AH$224,9)</f>
        <v>144</v>
      </c>
      <c r="M222" s="10">
        <f t="shared" ref="M222:M224" si="106">VLOOKUP(AI222,$U$221:$AH$224,10)</f>
        <v>126</v>
      </c>
      <c r="N222" s="9">
        <f t="shared" ref="N222:N224" si="107">VLOOKUP(AI222,$U$221:$AH$224,11)</f>
        <v>18</v>
      </c>
      <c r="O222" s="16">
        <f t="shared" ref="O222:O224" si="108">VLOOKUP(AI222,$U$221:$AH$224,12)</f>
        <v>0.55555555555555558</v>
      </c>
      <c r="Q222" s="40"/>
      <c r="R222" s="46"/>
      <c r="S222" s="41" t="s">
        <v>35</v>
      </c>
      <c r="T222" s="41"/>
      <c r="U222" s="45">
        <v>2</v>
      </c>
      <c r="V222" s="44" t="str">
        <f>IF(OR('1ª fase'!K49="",'1ª fase'!M49=""),"VENCEDOR J27",IF('1ª fase'!K49&gt;'1ª fase'!M49,'1ª fase'!C49,'1ª fase'!N49))</f>
        <v>NARINA SC</v>
      </c>
      <c r="W222" s="44">
        <f>COUNT(H230,H235,F242)</f>
        <v>3</v>
      </c>
      <c r="X222" s="44">
        <f>SUM(Q230,Q235,C242)</f>
        <v>5</v>
      </c>
      <c r="Y222" s="44">
        <f t="shared" ref="Y222:Y224" si="109">SUM(COUNTIFS($C$226:$C$242,3,$D$226:$D$242,V222),COUNTIFS($I$226:$I$242,V222,$Q$226:$Q$242,3))</f>
        <v>1</v>
      </c>
      <c r="Z222" s="44">
        <f t="shared" ref="Z222:Z224" si="110">SUM(COUNTIFS($C$226:$C$242,2,$D$226:$D$242,V222),COUNTIFS($I$226:$I$242,V222,$Q$226:$Q$242,2))</f>
        <v>1</v>
      </c>
      <c r="AA222" s="44">
        <f t="shared" ref="AA222:AA224" si="111">SUM(COUNTIFS($C$226:$C$242,1,$D$226:$D$242,V222),COUNTIFS($I$226:$I$242,V222,$Q$226:$Q$242,1))</f>
        <v>0</v>
      </c>
      <c r="AB222" s="44">
        <f t="shared" ref="AB222:AB224" si="112">SUM(COUNTIFS($C$226:$C$242,0,$D$226:$D$242,V222),COUNTIFS($I$226:$I$242,V222,$Q$226:$Q$242,0))</f>
        <v>1</v>
      </c>
      <c r="AC222" s="121">
        <f>SUM(H230,H235,F242)</f>
        <v>144</v>
      </c>
      <c r="AD222" s="121">
        <f>SUM(H242,F235,F230)</f>
        <v>126</v>
      </c>
      <c r="AE222" s="121">
        <f t="shared" ref="AE222:AE224" si="113">AC222-AD222</f>
        <v>18</v>
      </c>
      <c r="AF222" s="121">
        <f t="shared" ref="AF222:AF224" si="114">IF(OR($F$101="",$H$101=""),0,(X222/(W222*3)))</f>
        <v>0.55555555555555558</v>
      </c>
      <c r="AG222" s="44">
        <f t="shared" ref="AG222:AG224" si="115">(X222*10^10)+((AC222+5000)*10^6)+AE222*10+U222</f>
        <v>55144000182</v>
      </c>
      <c r="AH222" s="44">
        <f t="shared" ref="AH222:AH224" si="116">LARGE($AG$221:$AG$224,U222)</f>
        <v>55144000182</v>
      </c>
      <c r="AI222" s="90">
        <f t="shared" ref="AI222:AI224" si="117">MATCH(AH222,$AG$221:$AG$224,0)</f>
        <v>2</v>
      </c>
      <c r="AJ222" s="44"/>
      <c r="AK222" s="44"/>
    </row>
    <row r="223" spans="3:37" ht="15.75" thickBot="1">
      <c r="C223" s="40">
        <f>IF(OR(F223="",H223=""),"",IF(F223=H223,1,IF(F223&lt;H223,0,IF(F223-H223&lt;10,2,IF(F223&gt;H223,3,SE)))))</f>
        <v>2</v>
      </c>
      <c r="D223" s="30" t="s">
        <v>16</v>
      </c>
      <c r="E223" s="34" t="str">
        <f t="shared" si="98"/>
        <v>Kappa Trentino</v>
      </c>
      <c r="F223" s="34">
        <f t="shared" si="99"/>
        <v>3</v>
      </c>
      <c r="G223" s="34">
        <f t="shared" si="100"/>
        <v>4</v>
      </c>
      <c r="H223" s="35">
        <f t="shared" si="101"/>
        <v>0</v>
      </c>
      <c r="I223" s="35">
        <f t="shared" si="102"/>
        <v>2</v>
      </c>
      <c r="J223" s="35">
        <f t="shared" si="103"/>
        <v>0</v>
      </c>
      <c r="K223" s="35">
        <f t="shared" si="104"/>
        <v>1</v>
      </c>
      <c r="L223" s="35">
        <f t="shared" si="105"/>
        <v>176</v>
      </c>
      <c r="M223" s="35">
        <f t="shared" si="106"/>
        <v>179</v>
      </c>
      <c r="N223" s="34">
        <f t="shared" si="107"/>
        <v>-3</v>
      </c>
      <c r="O223" s="36">
        <f t="shared" si="108"/>
        <v>0.44444444444444442</v>
      </c>
      <c r="Q223" s="40"/>
      <c r="R223" s="47"/>
      <c r="S223" s="19" t="s">
        <v>38</v>
      </c>
      <c r="T223" s="41"/>
      <c r="U223" s="45">
        <v>3</v>
      </c>
      <c r="V223" s="44" t="str">
        <f>IF(OR('1ª fase'!K48="",'1ª fase'!M48=""),"VENCEDOR J26",IF('1ª fase'!K48&gt;'1ª fase'!M48,'1ª fase'!C48,'1ª fase'!N48))</f>
        <v>Kappa Trentino</v>
      </c>
      <c r="W223" s="44">
        <f>COUNT(H241,F236,F230)</f>
        <v>3</v>
      </c>
      <c r="X223" s="44">
        <f>SUM(C230,C236,Q241)</f>
        <v>4</v>
      </c>
      <c r="Y223" s="44">
        <f t="shared" si="109"/>
        <v>0</v>
      </c>
      <c r="Z223" s="44">
        <f t="shared" si="110"/>
        <v>2</v>
      </c>
      <c r="AA223" s="44">
        <f t="shared" si="111"/>
        <v>0</v>
      </c>
      <c r="AB223" s="44">
        <f t="shared" si="112"/>
        <v>1</v>
      </c>
      <c r="AC223" s="121">
        <f>SUM(H241,F236,F230)</f>
        <v>176</v>
      </c>
      <c r="AD223" s="121">
        <f>SUM(H230,H236,F241)</f>
        <v>179</v>
      </c>
      <c r="AE223" s="121">
        <f t="shared" si="113"/>
        <v>-3</v>
      </c>
      <c r="AF223" s="121">
        <f t="shared" si="114"/>
        <v>0.44444444444444442</v>
      </c>
      <c r="AG223" s="44">
        <f t="shared" si="115"/>
        <v>45175999973</v>
      </c>
      <c r="AH223" s="44">
        <f t="shared" si="116"/>
        <v>45175999973</v>
      </c>
      <c r="AI223" s="90">
        <f t="shared" si="117"/>
        <v>3</v>
      </c>
      <c r="AJ223" s="44"/>
      <c r="AK223" s="44"/>
    </row>
    <row r="224" spans="3:37" ht="15.75" thickBot="1">
      <c r="C224" s="40">
        <f>IF(OR(F224="",H224=""),"",IF(F224=H224,1,IF(F224&lt;H224,0,IF(F224-H224&lt;10,2,IF(F224&gt;H224,3,SE)))))</f>
        <v>2</v>
      </c>
      <c r="D224" s="12" t="s">
        <v>17</v>
      </c>
      <c r="E224" s="37" t="str">
        <f t="shared" si="98"/>
        <v>revolução fc</v>
      </c>
      <c r="F224" s="37">
        <f t="shared" si="99"/>
        <v>3</v>
      </c>
      <c r="G224" s="37">
        <f t="shared" si="100"/>
        <v>0</v>
      </c>
      <c r="H224" s="38">
        <f t="shared" si="101"/>
        <v>0</v>
      </c>
      <c r="I224" s="38">
        <f t="shared" si="102"/>
        <v>0</v>
      </c>
      <c r="J224" s="38">
        <f t="shared" si="103"/>
        <v>0</v>
      </c>
      <c r="K224" s="38">
        <f t="shared" si="104"/>
        <v>3</v>
      </c>
      <c r="L224" s="38">
        <f t="shared" si="105"/>
        <v>134</v>
      </c>
      <c r="M224" s="38">
        <f t="shared" si="106"/>
        <v>158</v>
      </c>
      <c r="N224" s="37">
        <f t="shared" si="107"/>
        <v>-24</v>
      </c>
      <c r="O224" s="39">
        <f t="shared" si="108"/>
        <v>0</v>
      </c>
      <c r="Q224" s="40"/>
      <c r="R224" s="48"/>
      <c r="S224" s="41" t="s">
        <v>37</v>
      </c>
      <c r="T224" s="41"/>
      <c r="U224" s="45">
        <v>4</v>
      </c>
      <c r="V224" s="44" t="str">
        <f>IF(OR('1ª fase'!K47="",'1ª fase'!M47=""),"VENCEDOR J25",IF('1ª fase'!K47&gt;'1ª fase'!M47,'1ª fase'!C47,'1ª fase'!N47))</f>
        <v>GREMIO CURITIBA</v>
      </c>
      <c r="W224" s="44">
        <f>COUNT(F229,F235,F241)</f>
        <v>3</v>
      </c>
      <c r="X224" s="44">
        <f>SUM(C229,C235,C241)</f>
        <v>5</v>
      </c>
      <c r="Y224" s="44">
        <f t="shared" si="109"/>
        <v>1</v>
      </c>
      <c r="Z224" s="44">
        <f t="shared" si="110"/>
        <v>1</v>
      </c>
      <c r="AA224" s="44">
        <f t="shared" si="111"/>
        <v>0</v>
      </c>
      <c r="AB224" s="44">
        <f t="shared" si="112"/>
        <v>1</v>
      </c>
      <c r="AC224" s="121">
        <f>SUM(F229,F235,F241)</f>
        <v>158</v>
      </c>
      <c r="AD224" s="121">
        <f>SUM(,H241,H235,H229)</f>
        <v>149</v>
      </c>
      <c r="AE224" s="121">
        <f t="shared" si="113"/>
        <v>9</v>
      </c>
      <c r="AF224" s="121">
        <f t="shared" si="114"/>
        <v>0.55555555555555558</v>
      </c>
      <c r="AG224" s="44">
        <f t="shared" si="115"/>
        <v>55158000094</v>
      </c>
      <c r="AH224" s="44">
        <f t="shared" si="116"/>
        <v>5133999761</v>
      </c>
      <c r="AI224" s="90">
        <f t="shared" si="117"/>
        <v>1</v>
      </c>
      <c r="AJ224" s="44"/>
      <c r="AK224" s="44"/>
    </row>
    <row r="225" spans="3:37" ht="15.75" thickBot="1">
      <c r="C225" s="40" t="str">
        <f>IF(OR(F225="",H225=""),"",IF(F225=H225,1,IF(F225&lt;H225,0,IF(F225-H225&lt;10,2,IF(F225&gt;H225,3,SE)))))</f>
        <v/>
      </c>
      <c r="Q225" s="40" t="str">
        <f>IF(OR(H225="",F225=""),"",IF(H225=F225,1,IF(H225&lt;F225,0,IF(H225-F225&lt;10,2,IF(H225&gt;F225,3,SE)))))</f>
        <v/>
      </c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</row>
    <row r="226" spans="3:37">
      <c r="C226" s="40" t="str">
        <f>IF(OR(F226="",H226=""),"",IF(F226=H226,1,IF(F226&lt;H226,0,IF(F226-H226&lt;10,2,IF(F226&gt;H226,3,SE)))))</f>
        <v/>
      </c>
      <c r="D226" s="198" t="s">
        <v>160</v>
      </c>
      <c r="E226" s="199"/>
      <c r="F226" s="199"/>
      <c r="G226" s="199"/>
      <c r="H226" s="199"/>
      <c r="I226" s="199"/>
      <c r="J226" s="199"/>
      <c r="K226" s="199"/>
      <c r="L226" s="199"/>
      <c r="M226" s="199"/>
      <c r="N226" s="199"/>
      <c r="O226" s="199"/>
      <c r="P226" s="200"/>
      <c r="Q226" s="40" t="str">
        <f>IF(OR(H226="",F226=""),"",IF(H226=F226,1,IF(H226&lt;F226,0,IF(H226-F226&lt;10,2,IF(H226&gt;F226,3,SE)))))</f>
        <v/>
      </c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</row>
    <row r="227" spans="3:37" ht="15.75" thickBot="1">
      <c r="C227" s="40" t="str">
        <f>IF(OR(F227="",H227=""),"",IF(F227=H227,1,IF(F227&lt;H227,0,IF(F227-H227&lt;10,2,IF(F227&gt;H227,3,SE)))))</f>
        <v/>
      </c>
      <c r="D227" s="204"/>
      <c r="E227" s="205"/>
      <c r="F227" s="205"/>
      <c r="G227" s="205"/>
      <c r="H227" s="205"/>
      <c r="I227" s="205"/>
      <c r="J227" s="205"/>
      <c r="K227" s="205"/>
      <c r="L227" s="205"/>
      <c r="M227" s="205"/>
      <c r="N227" s="205"/>
      <c r="O227" s="205"/>
      <c r="P227" s="206"/>
      <c r="Q227" s="40" t="str">
        <f>IF(OR(H227="",F227=""),"",IF(H227=F227,1,IF(H227&lt;F227,0,IF(H227-F227&lt;10,2,IF(H227&gt;F227,3,SE)))))</f>
        <v/>
      </c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</row>
    <row r="228" spans="3:37">
      <c r="C228" s="40" t="str">
        <f>IF(OR(F228="",H228=""),"",IF(F228=H228,1,IF(F228&lt;H228,0,IF(F228-H228&lt;10,2,IF(F228&gt;H228,3,SE)))))</f>
        <v/>
      </c>
      <c r="Q228" s="40" t="str">
        <f>IF(OR(H228="",F228=""),"",IF(H228=F228,1,IF(H228&lt;F228,0,IF(H228-F228&lt;10,2,IF(H228&gt;F228,3,SE)))))</f>
        <v/>
      </c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</row>
    <row r="229" spans="3:37">
      <c r="C229" s="40">
        <f>IF(OR(F229="",H229=""),"",IF(F229=H229,1,IF(F229&lt;H229,0,IF(F229-H229&lt;10,2,IF(F229&gt;H229,3,SE)))))</f>
        <v>2</v>
      </c>
      <c r="D229" s="197" t="str">
        <f>V224</f>
        <v>GREMIO CURITIBA</v>
      </c>
      <c r="E229" s="197"/>
      <c r="F229" s="141">
        <v>53</v>
      </c>
      <c r="G229" s="17" t="s">
        <v>19</v>
      </c>
      <c r="H229" s="140">
        <v>49</v>
      </c>
      <c r="I229" s="197" t="str">
        <f>V221</f>
        <v>revolução fc</v>
      </c>
      <c r="J229" s="197"/>
      <c r="K229" s="197"/>
      <c r="L229" s="197"/>
      <c r="M229" s="197"/>
      <c r="N229" s="197"/>
      <c r="O229" s="197"/>
      <c r="P229" s="197"/>
      <c r="Q229" s="40">
        <f>IF(OR(H229="",F229=""),"",IF(H229=F229,1,IF(H229&lt;F229,0,IF(H229-F229&lt;10,2,IF(H229&gt;F229,3,SE)))))</f>
        <v>0</v>
      </c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</row>
    <row r="230" spans="3:37">
      <c r="C230" s="40">
        <f>IF(OR(F230="",H230=""),"",IF(F230=H230,1,IF(F230&lt;H230,0,IF(F230-H230&lt;10,2,IF(F230&gt;H230,3,SE)))))</f>
        <v>2</v>
      </c>
      <c r="D230" s="197" t="str">
        <f>V223</f>
        <v>Kappa Trentino</v>
      </c>
      <c r="E230" s="197"/>
      <c r="F230" s="141">
        <v>59</v>
      </c>
      <c r="G230" s="17" t="s">
        <v>19</v>
      </c>
      <c r="H230" s="140">
        <v>56</v>
      </c>
      <c r="I230" s="197" t="str">
        <f>V222</f>
        <v>NARINA SC</v>
      </c>
      <c r="J230" s="197"/>
      <c r="K230" s="197"/>
      <c r="L230" s="197"/>
      <c r="M230" s="197"/>
      <c r="N230" s="197"/>
      <c r="O230" s="197"/>
      <c r="P230" s="197"/>
      <c r="Q230" s="40">
        <f>IF(OR(H230="",F230=""),"",IF(H230=F230,1,IF(H230&lt;F230,0,IF(H230-F230&lt;10,2,IF(H230&gt;F230,3,SE)))))</f>
        <v>0</v>
      </c>
      <c r="R230" s="41"/>
      <c r="S230" s="41"/>
      <c r="T230" s="41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</row>
    <row r="231" spans="3:37" ht="15.75" thickBot="1">
      <c r="C231" s="40" t="str">
        <f>IF(OR(F231="",H231=""),"",IF(F231=H231,1,IF(F231&lt;H231,0,IF(F231-H231&lt;10,2,IF(F231&gt;H231,3,SE)))))</f>
        <v/>
      </c>
      <c r="Q231" s="40" t="str">
        <f>IF(OR(H231="",F231=""),"",IF(H231=F231,1,IF(H231&lt;F231,0,IF(H231-F231&lt;10,2,IF(H231&gt;F231,3,SE)))))</f>
        <v/>
      </c>
      <c r="R231" s="41"/>
      <c r="S231" s="41"/>
      <c r="T231" s="41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</row>
    <row r="232" spans="3:37">
      <c r="C232" s="40" t="str">
        <f>IF(OR(F232="",H232=""),"",IF(F232=H232,1,IF(F232&lt;H232,0,IF(F232-H232&lt;10,2,IF(F232&gt;H232,3,SE)))))</f>
        <v/>
      </c>
      <c r="D232" s="207" t="s">
        <v>161</v>
      </c>
      <c r="E232" s="208"/>
      <c r="F232" s="208"/>
      <c r="G232" s="208"/>
      <c r="H232" s="208"/>
      <c r="I232" s="208"/>
      <c r="J232" s="208"/>
      <c r="K232" s="208"/>
      <c r="L232" s="208"/>
      <c r="M232" s="208"/>
      <c r="N232" s="208"/>
      <c r="O232" s="208"/>
      <c r="P232" s="209"/>
      <c r="Q232" s="40" t="str">
        <f>IF(OR(H232="",F232=""),"",IF(H232=F232,1,IF(H232&lt;F232,0,IF(H232-F232&lt;10,2,IF(H232&gt;F232,3,SE)))))</f>
        <v/>
      </c>
      <c r="R232" s="41"/>
      <c r="S232" s="41"/>
      <c r="T232" s="41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</row>
    <row r="233" spans="3:37" ht="15.75" thickBot="1">
      <c r="C233" s="40" t="str">
        <f>IF(OR(F233="",H233=""),"",IF(F233=H233,1,IF(F233&lt;H233,0,IF(F233-H233&lt;10,2,IF(F233&gt;H233,3,SE)))))</f>
        <v/>
      </c>
      <c r="D233" s="210"/>
      <c r="E233" s="211"/>
      <c r="F233" s="211"/>
      <c r="G233" s="211"/>
      <c r="H233" s="211"/>
      <c r="I233" s="211"/>
      <c r="J233" s="211"/>
      <c r="K233" s="211"/>
      <c r="L233" s="211"/>
      <c r="M233" s="211"/>
      <c r="N233" s="211"/>
      <c r="O233" s="211"/>
      <c r="P233" s="212"/>
      <c r="Q233" s="40" t="str">
        <f>IF(OR(H233="",F233=""),"",IF(H233=F233,1,IF(H233&lt;F233,0,IF(H233-F233&lt;10,2,IF(H233&gt;F233,3,SE)))))</f>
        <v/>
      </c>
      <c r="R233" s="41"/>
      <c r="S233" s="41"/>
      <c r="T233" s="41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</row>
    <row r="234" spans="3:37">
      <c r="C234" s="40" t="str">
        <f>IF(OR(F234="",H234=""),"",IF(F234=H234,1,IF(F234&lt;H234,0,IF(F234-H234&lt;10,2,IF(F234&gt;H234,3,SE)))))</f>
        <v/>
      </c>
      <c r="Q234" s="40" t="str">
        <f>IF(OR(H234="",F234=""),"",IF(H234=F234,1,IF(H234&lt;F234,0,IF(H234-F234&lt;10,2,IF(H234&gt;F234,3,SE)))))</f>
        <v/>
      </c>
      <c r="R234" s="41"/>
      <c r="S234" s="41"/>
      <c r="T234" s="41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</row>
    <row r="235" spans="3:37">
      <c r="C235" s="40">
        <f>IF(OR(F235="",H235=""),"",IF(F235=H235,1,IF(F235&lt;H235,0,IF(F235-H235&lt;10,2,IF(F235&gt;H235,3,SE)))))</f>
        <v>0</v>
      </c>
      <c r="D235" s="197" t="str">
        <f>V224</f>
        <v>GREMIO CURITIBA</v>
      </c>
      <c r="E235" s="197"/>
      <c r="F235" s="140">
        <v>40</v>
      </c>
      <c r="G235" s="18" t="s">
        <v>19</v>
      </c>
      <c r="H235" s="141">
        <v>48</v>
      </c>
      <c r="I235" s="197" t="str">
        <f>V222</f>
        <v>NARINA SC</v>
      </c>
      <c r="J235" s="197"/>
      <c r="K235" s="197"/>
      <c r="L235" s="197"/>
      <c r="M235" s="197"/>
      <c r="N235" s="197"/>
      <c r="O235" s="197"/>
      <c r="P235" s="197"/>
      <c r="Q235" s="40">
        <f>IF(OR(H235="",F235=""),"",IF(H235=F235,1,IF(H235&lt;F235,0,IF(H235-F235&lt;10,2,IF(H235&gt;F235,3,SE)))))</f>
        <v>2</v>
      </c>
      <c r="R235" s="41"/>
      <c r="S235" s="41"/>
      <c r="T235" s="41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</row>
    <row r="236" spans="3:37">
      <c r="C236" s="40">
        <f>IF(OR(F236="",H236=""),"",IF(F236=H236,1,IF(F236&lt;H236,0,IF(F236-H236&lt;10,2,IF(F236&gt;H236,3,SE)))))</f>
        <v>2</v>
      </c>
      <c r="D236" s="197" t="str">
        <f>V223</f>
        <v>Kappa Trentino</v>
      </c>
      <c r="E236" s="197"/>
      <c r="F236" s="141">
        <v>65</v>
      </c>
      <c r="G236" s="18" t="s">
        <v>19</v>
      </c>
      <c r="H236" s="140">
        <v>58</v>
      </c>
      <c r="I236" s="197" t="str">
        <f>V221</f>
        <v>revolução fc</v>
      </c>
      <c r="J236" s="197"/>
      <c r="K236" s="197"/>
      <c r="L236" s="197"/>
      <c r="M236" s="197"/>
      <c r="N236" s="197"/>
      <c r="O236" s="197"/>
      <c r="P236" s="197"/>
      <c r="Q236" s="40">
        <f>IF(OR(H236="",F236=""),"",IF(H236=F236,1,IF(H236&lt;F236,0,IF(H236-F236&lt;10,2,IF(H236&gt;F236,3,SE)))))</f>
        <v>0</v>
      </c>
      <c r="R236" s="41"/>
      <c r="S236" s="41"/>
      <c r="T236" s="41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</row>
    <row r="237" spans="3:37" ht="15.75" thickBot="1">
      <c r="C237" s="40" t="str">
        <f>IF(OR(F237="",H237=""),"",IF(F237=H237,1,IF(F237&lt;H237,0,IF(F237-H237&lt;10,2,IF(F237&gt;H237,3,SE)))))</f>
        <v/>
      </c>
      <c r="F237" s="20"/>
      <c r="Q237" s="40" t="str">
        <f>IF(OR(H237="",F237=""),"",IF(H237=F237,1,IF(H237&lt;F237,0,IF(H237-F237&lt;10,2,IF(H237&gt;F237,3,SE)))))</f>
        <v/>
      </c>
      <c r="R237" s="41"/>
      <c r="S237" s="41"/>
      <c r="T237" s="41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</row>
    <row r="238" spans="3:37">
      <c r="C238" s="40" t="str">
        <f>IF(OR(F238="",H238=""),"",IF(F238=H238,1,IF(F238&lt;H238,0,IF(F238-H238&lt;10,2,IF(F238&gt;H238,3,SE)))))</f>
        <v/>
      </c>
      <c r="D238" s="207" t="s">
        <v>162</v>
      </c>
      <c r="E238" s="208"/>
      <c r="F238" s="208"/>
      <c r="G238" s="208"/>
      <c r="H238" s="208"/>
      <c r="I238" s="208"/>
      <c r="J238" s="208"/>
      <c r="K238" s="208"/>
      <c r="L238" s="208"/>
      <c r="M238" s="208"/>
      <c r="N238" s="208"/>
      <c r="O238" s="208"/>
      <c r="P238" s="209"/>
      <c r="Q238" s="40" t="str">
        <f>IF(OR(H238="",F238=""),"",IF(H238=F238,1,IF(H238&lt;F238,0,IF(H238-F238&lt;10,2,IF(H238&gt;F238,3,SE)))))</f>
        <v/>
      </c>
      <c r="R238" s="41"/>
      <c r="S238" s="41"/>
      <c r="T238" s="41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</row>
    <row r="239" spans="3:37" ht="15.75" thickBot="1">
      <c r="C239" s="40" t="str">
        <f>IF(OR(F239="",H239=""),"",IF(F239=H239,1,IF(F239&lt;H239,0,IF(F239-H239&lt;10,2,IF(F239&gt;H239,3,SE)))))</f>
        <v/>
      </c>
      <c r="D239" s="210"/>
      <c r="E239" s="211"/>
      <c r="F239" s="211"/>
      <c r="G239" s="211"/>
      <c r="H239" s="211"/>
      <c r="I239" s="211"/>
      <c r="J239" s="211"/>
      <c r="K239" s="211"/>
      <c r="L239" s="211"/>
      <c r="M239" s="211"/>
      <c r="N239" s="211"/>
      <c r="O239" s="211"/>
      <c r="P239" s="212"/>
      <c r="Q239" s="40" t="str">
        <f>IF(OR(H239="",F239=""),"",IF(H239=F239,1,IF(H239&lt;F239,0,IF(H239-F239&lt;10,2,IF(H239&gt;F239,3,SE)))))</f>
        <v/>
      </c>
      <c r="R239" s="41"/>
      <c r="S239" s="41"/>
      <c r="T239" s="41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</row>
    <row r="240" spans="3:37">
      <c r="C240" s="40" t="str">
        <f>IF(OR(F240="",H240=""),"",IF(F240=H240,1,IF(F240&lt;H240,0,IF(F240-H240&lt;10,2,IF(F240&gt;H240,3,SE)))))</f>
        <v/>
      </c>
      <c r="Q240" s="40" t="str">
        <f>IF(OR(H240="",F240=""),"",IF(H240=F240,1,IF(H240&lt;F240,0,IF(H240-F240&lt;10,2,IF(H240&gt;F240,3,SE)))))</f>
        <v/>
      </c>
      <c r="R240" s="41"/>
      <c r="S240" s="41"/>
      <c r="T240" s="41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</row>
    <row r="241" spans="3:37">
      <c r="C241" s="40">
        <f>IF(OR(F241="",H241=""),"",IF(F241=H241,1,IF(F241&lt;H241,0,IF(F241-H241&lt;10,2,IF(F241&gt;H241,3,SE)))))</f>
        <v>3</v>
      </c>
      <c r="D241" s="197" t="str">
        <f>V224</f>
        <v>GREMIO CURITIBA</v>
      </c>
      <c r="E241" s="197"/>
      <c r="F241" s="141">
        <v>65</v>
      </c>
      <c r="G241" s="18" t="s">
        <v>19</v>
      </c>
      <c r="H241" s="140">
        <v>52</v>
      </c>
      <c r="I241" s="197" t="str">
        <f>V223</f>
        <v>Kappa Trentino</v>
      </c>
      <c r="J241" s="197"/>
      <c r="K241" s="197"/>
      <c r="L241" s="197"/>
      <c r="M241" s="197"/>
      <c r="N241" s="197"/>
      <c r="O241" s="197"/>
      <c r="P241" s="197"/>
      <c r="Q241" s="40">
        <f>IF(OR(H241="",F241=""),"",IF(H241=F241,1,IF(H241&lt;F241,0,IF(H241-F241&lt;10,2,IF(H241&gt;F241,3,SE)))))</f>
        <v>0</v>
      </c>
      <c r="R241" s="41"/>
      <c r="S241" s="41"/>
      <c r="T241" s="41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</row>
    <row r="242" spans="3:37">
      <c r="C242" s="40">
        <f>IF(OR(F242="",H242=""),"",IF(F242=H242,1,IF(F242&lt;H242,0,IF(F242-H242&lt;10,2,IF(F242&gt;H242,3,SE)))))</f>
        <v>3</v>
      </c>
      <c r="D242" s="197" t="str">
        <f>V222</f>
        <v>NARINA SC</v>
      </c>
      <c r="E242" s="197"/>
      <c r="F242" s="141">
        <v>40</v>
      </c>
      <c r="G242" s="18" t="s">
        <v>19</v>
      </c>
      <c r="H242" s="140">
        <v>27</v>
      </c>
      <c r="I242" s="197" t="str">
        <f>V221</f>
        <v>revolução fc</v>
      </c>
      <c r="J242" s="197"/>
      <c r="K242" s="197"/>
      <c r="L242" s="197"/>
      <c r="M242" s="197"/>
      <c r="N242" s="197"/>
      <c r="O242" s="197"/>
      <c r="P242" s="197"/>
      <c r="Q242" s="40">
        <f>IF(OR(H242="",F242=""),"",IF(H242=F242,1,IF(H242&lt;F242,0,IF(H242-F242&lt;10,2,IF(H242&gt;F242,3,SE)))))</f>
        <v>0</v>
      </c>
      <c r="R242" s="41"/>
      <c r="S242" s="41"/>
      <c r="T242" s="41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</row>
    <row r="243" spans="3:37">
      <c r="C243" s="40" t="str">
        <f>IF(OR(F243="",H243=""),"",IF(F243=H243,1,IF(F243&lt;H243,0,IF(F243-H243&lt;10,2,IF(F243&gt;H243,3,SE)))))</f>
        <v/>
      </c>
      <c r="Q243" s="40" t="str">
        <f>IF(OR(H243="",F243=""),"",IF(H243=F243,1,IF(H243&lt;F243,0,IF(H243-F243&lt;10,2,IF(H243&gt;F243,3,SE)))))</f>
        <v/>
      </c>
      <c r="R243" s="41"/>
      <c r="S243" s="41"/>
      <c r="T243" s="41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</row>
    <row r="244" spans="3:37">
      <c r="C244" s="40" t="str">
        <f>IF(OR(F244="",H244=""),"",IF(F244=H244,1,IF(F244&lt;H244,0,IF(F244-H244&lt;10,2,IF(F244&gt;H244,3,SE)))))</f>
        <v/>
      </c>
      <c r="D244" s="21"/>
      <c r="E244" s="21"/>
      <c r="F244" s="22"/>
      <c r="G244" s="23"/>
      <c r="H244" s="22"/>
      <c r="I244" s="21"/>
      <c r="J244" s="21"/>
      <c r="K244" s="21"/>
      <c r="L244" s="21"/>
      <c r="M244" s="21"/>
      <c r="N244" s="21"/>
      <c r="O244" s="21"/>
      <c r="P244" s="21"/>
      <c r="Q244" s="40"/>
      <c r="R244" s="41" t="s">
        <v>5</v>
      </c>
      <c r="S244" s="43"/>
      <c r="T244" s="41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</row>
    <row r="245" spans="3:37">
      <c r="C245" s="40" t="str">
        <f>IF(OR(F245="",H245=""),"",IF(F245=H245,1,IF(F245&lt;H245,0,IF(F245-H245&lt;10,2,IF(F245&gt;H245,3,SE)))))</f>
        <v/>
      </c>
      <c r="D245" s="21"/>
      <c r="E245" s="21"/>
      <c r="F245" s="22"/>
      <c r="G245" s="23"/>
      <c r="H245" s="22"/>
      <c r="I245" s="21"/>
      <c r="J245" s="21"/>
      <c r="K245" s="21"/>
      <c r="L245" s="21"/>
      <c r="M245" s="21"/>
      <c r="N245" s="21"/>
      <c r="O245" s="21"/>
      <c r="P245" s="21"/>
      <c r="Q245" s="40"/>
      <c r="R245" s="41" t="s">
        <v>14</v>
      </c>
      <c r="S245" s="43"/>
      <c r="T245" s="41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</row>
    <row r="246" spans="3:37">
      <c r="C246" s="40" t="str">
        <f>IF(OR(F246="",H246=""),"",IF(F246=H246,1,IF(F246&lt;H246,0,IF(F246-H246&lt;10,2,IF(F246&gt;H246,3,SE)))))</f>
        <v/>
      </c>
      <c r="D246" s="21"/>
      <c r="E246" s="21"/>
      <c r="F246" s="22"/>
      <c r="G246" s="23"/>
      <c r="H246" s="22"/>
      <c r="I246" s="21"/>
      <c r="J246" s="21"/>
      <c r="K246" s="21"/>
      <c r="L246" s="21"/>
      <c r="M246" s="21"/>
      <c r="N246" s="21"/>
      <c r="O246" s="21"/>
      <c r="P246" s="21"/>
      <c r="Q246" s="40"/>
      <c r="R246" s="41" t="s">
        <v>28</v>
      </c>
      <c r="T246" s="41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</row>
    <row r="247" spans="3:37">
      <c r="C247" s="40" t="str">
        <f>IF(OR(F247="",H247=""),"",IF(F247=H247,1,IF(F247&lt;H247,0,IF(F247-H247&lt;10,2,IF(F247&gt;H247,3,SE)))))</f>
        <v/>
      </c>
      <c r="D247" s="21"/>
      <c r="E247" s="21"/>
      <c r="F247" s="22"/>
      <c r="G247" s="23"/>
      <c r="H247" s="22"/>
      <c r="I247" s="21"/>
      <c r="J247" s="21"/>
      <c r="K247" s="21"/>
      <c r="L247" s="21"/>
      <c r="M247" s="21"/>
      <c r="N247" s="21"/>
      <c r="O247" s="21"/>
      <c r="P247" s="21"/>
      <c r="Q247" s="40"/>
      <c r="R247" s="41" t="s">
        <v>29</v>
      </c>
      <c r="S247" s="41"/>
      <c r="T247" s="41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</row>
    <row r="248" spans="3:37">
      <c r="C248" s="40" t="str">
        <f>IF(OR(F248="",H248=""),"",IF(F248=H248,1,IF(F248&lt;H248,0,IF(F248-H248&lt;10,2,IF(F248&gt;H248,3,SE)))))</f>
        <v/>
      </c>
      <c r="D248" s="21"/>
      <c r="E248" s="21"/>
      <c r="F248" s="22"/>
      <c r="G248" s="23"/>
      <c r="H248" s="22"/>
      <c r="I248" s="21"/>
      <c r="J248" s="21"/>
      <c r="K248" s="21"/>
      <c r="L248" s="21"/>
      <c r="M248" s="21"/>
      <c r="N248" s="21"/>
      <c r="O248" s="21"/>
      <c r="P248" s="21"/>
      <c r="Q248" s="40"/>
      <c r="R248" s="41" t="s">
        <v>30</v>
      </c>
      <c r="S248" s="41"/>
      <c r="T248" s="41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</row>
    <row r="249" spans="3:37" ht="15.75" thickBot="1">
      <c r="C249" s="40" t="str">
        <f>IF(OR(F249="",H249=""),"",IF(F249=H249,1,IF(F249&lt;H249,0,IF(F249-H249&lt;10,2,IF(F249&gt;H249,3,SE)))))</f>
        <v/>
      </c>
      <c r="Q249" s="40" t="str">
        <f>IF(OR(H249="",F249=""),"",IF(H249=F249,1,IF(H249&lt;F249,0,IF(H249-F249&lt;10,2,IF(H249&gt;F249,3,SE)))))</f>
        <v/>
      </c>
      <c r="R249" s="41" t="s">
        <v>31</v>
      </c>
      <c r="S249" s="41"/>
      <c r="T249" s="41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</row>
    <row r="250" spans="3:37" ht="15" customHeight="1">
      <c r="C250" s="40" t="str">
        <f>IF(OR(F250="",H250=""),"",IF(F250=H250,1,IF(F250&lt;H250,0,IF(F250-H250&lt;10,2,IF(F250&gt;H250,3,SE)))))</f>
        <v/>
      </c>
      <c r="D250" s="198" t="s">
        <v>166</v>
      </c>
      <c r="E250" s="199"/>
      <c r="F250" s="199"/>
      <c r="G250" s="199"/>
      <c r="H250" s="199"/>
      <c r="I250" s="199"/>
      <c r="J250" s="199"/>
      <c r="K250" s="199"/>
      <c r="L250" s="199"/>
      <c r="M250" s="199"/>
      <c r="N250" s="199"/>
      <c r="O250" s="200"/>
      <c r="Q250" s="40" t="str">
        <f>IF(OR(H250="",F250=""),"",IF(H250=F250,1,IF(H250&lt;F250,0,IF(H250-F250&lt;10,2,IF(H250&gt;F250,3,SE)))))</f>
        <v/>
      </c>
      <c r="R250" s="41" t="s">
        <v>32</v>
      </c>
      <c r="S250" s="41"/>
      <c r="T250" s="41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</row>
    <row r="251" spans="3:37" ht="15.75" customHeight="1">
      <c r="C251" s="40" t="str">
        <f>IF(OR(F251="",H251=""),"",IF(F251=H251,1,IF(F251&lt;H251,0,IF(F251-H251&lt;10,2,IF(F251&gt;H251,3,SE)))))</f>
        <v/>
      </c>
      <c r="D251" s="201"/>
      <c r="E251" s="202"/>
      <c r="F251" s="202"/>
      <c r="G251" s="202"/>
      <c r="H251" s="202"/>
      <c r="I251" s="202"/>
      <c r="J251" s="202"/>
      <c r="K251" s="202"/>
      <c r="L251" s="202"/>
      <c r="M251" s="202"/>
      <c r="N251" s="202"/>
      <c r="O251" s="203"/>
      <c r="Q251" s="40" t="str">
        <f>IF(OR(H251="",F251=""),"",IF(H251=F251,1,IF(H251&lt;F251,0,IF(H251-F251&lt;10,2,IF(H251&gt;F251,3,SE)))))</f>
        <v/>
      </c>
      <c r="R251" s="41" t="s">
        <v>33</v>
      </c>
      <c r="S251" s="41"/>
      <c r="T251" s="40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</row>
    <row r="252" spans="3:37" ht="15.75" thickBot="1">
      <c r="C252" s="40">
        <f>IF(OR(F252="",H252=""),"",IF(F252=H252,1,IF(F252&lt;H252,0,IF(F252-H252&lt;10,2,IF(F252&gt;H252,3,SE)))))</f>
        <v>0</v>
      </c>
      <c r="D252" s="24" t="s">
        <v>0</v>
      </c>
      <c r="E252" s="25" t="s">
        <v>1</v>
      </c>
      <c r="F252" s="25" t="s">
        <v>21</v>
      </c>
      <c r="G252" s="25" t="s">
        <v>2</v>
      </c>
      <c r="H252" s="25" t="s">
        <v>22</v>
      </c>
      <c r="I252" s="25" t="s">
        <v>23</v>
      </c>
      <c r="J252" s="25" t="s">
        <v>24</v>
      </c>
      <c r="K252" s="25" t="s">
        <v>25</v>
      </c>
      <c r="L252" s="25" t="s">
        <v>27</v>
      </c>
      <c r="M252" s="25" t="s">
        <v>3</v>
      </c>
      <c r="N252" s="25" t="s">
        <v>4</v>
      </c>
      <c r="O252" s="26" t="s">
        <v>26</v>
      </c>
      <c r="Q252" s="40"/>
      <c r="R252" s="41" t="s">
        <v>18</v>
      </c>
      <c r="S252" s="41"/>
      <c r="T252" s="40"/>
      <c r="U252" s="45" t="s">
        <v>0</v>
      </c>
      <c r="V252" s="45" t="s">
        <v>6</v>
      </c>
      <c r="W252" s="45" t="s">
        <v>21</v>
      </c>
      <c r="X252" s="45" t="s">
        <v>2</v>
      </c>
      <c r="Y252" s="45" t="s">
        <v>22</v>
      </c>
      <c r="Z252" s="45" t="s">
        <v>23</v>
      </c>
      <c r="AA252" s="45" t="s">
        <v>24</v>
      </c>
      <c r="AB252" s="45" t="s">
        <v>25</v>
      </c>
      <c r="AC252" s="45" t="s">
        <v>7</v>
      </c>
      <c r="AD252" s="45" t="s">
        <v>8</v>
      </c>
      <c r="AE252" s="45" t="s">
        <v>9</v>
      </c>
      <c r="AF252" s="45" t="s">
        <v>26</v>
      </c>
      <c r="AG252" s="45" t="s">
        <v>10</v>
      </c>
      <c r="AH252" s="45" t="s">
        <v>11</v>
      </c>
      <c r="AI252" s="45" t="s">
        <v>12</v>
      </c>
      <c r="AJ252" s="44"/>
      <c r="AK252" s="44"/>
    </row>
    <row r="253" spans="3:37" ht="15.75" thickBot="1">
      <c r="C253" s="40">
        <f>IF(OR(F253="",H253=""),"",IF(F253=H253,1,IF(F253&lt;H253,0,IF(F253-H253&lt;10,2,IF(F253&gt;H253,3,SE)))))</f>
        <v>1</v>
      </c>
      <c r="D253" s="8" t="s">
        <v>13</v>
      </c>
      <c r="E253" s="9" t="str">
        <f>VLOOKUP(AI253,$U$253:$AH$256,2)</f>
        <v>Rock celeste F.C</v>
      </c>
      <c r="F253" s="9">
        <f>VLOOKUP(AI253,$U$253:$AH$256,3)</f>
        <v>3</v>
      </c>
      <c r="G253" s="9">
        <f>VLOOKUP(AI253,$U$253:$AH$256,4)</f>
        <v>9</v>
      </c>
      <c r="H253" s="10">
        <f>VLOOKUP(AI253,$U$253:$AH$256,5)</f>
        <v>3</v>
      </c>
      <c r="I253" s="10">
        <f>VLOOKUP(AI253,$U$253:$AH$256,6)</f>
        <v>0</v>
      </c>
      <c r="J253" s="10">
        <f>VLOOKUP(AI253,$U$253:$AH$256,7)</f>
        <v>0</v>
      </c>
      <c r="K253" s="10">
        <f>VLOOKUP(AI253,$U$253:$AH$256,8)</f>
        <v>0</v>
      </c>
      <c r="L253" s="10">
        <f>VLOOKUP(AI253,$U$253:$AH$256,9)</f>
        <v>207</v>
      </c>
      <c r="M253" s="10">
        <f>VLOOKUP(AI253,$U$253:$AH$256,10)</f>
        <v>166</v>
      </c>
      <c r="N253" s="9">
        <f>VLOOKUP(AI253,$U$253:$AH$256,11)</f>
        <v>41</v>
      </c>
      <c r="O253" s="16">
        <f>VLOOKUP(AI253,$U$253:$AH$256,12)</f>
        <v>1</v>
      </c>
      <c r="Q253" s="40"/>
      <c r="R253" s="41" t="s">
        <v>34</v>
      </c>
      <c r="S253" s="41"/>
      <c r="T253" s="40"/>
      <c r="U253" s="45">
        <v>1</v>
      </c>
      <c r="V253" s="44" t="str">
        <f>IF(OR('1ª fase'!K54="",'1ª fase'!M54=""),"VENCEDOR J32",IF('1ª fase'!K54&gt;'1ª fase'!M54,'1ª fase'!C54,'1ª fase'!N54))</f>
        <v>Bolacha pc.</v>
      </c>
      <c r="W253" s="44">
        <f>COUNT(H261,H268,H274)</f>
        <v>3</v>
      </c>
      <c r="X253" s="44">
        <f>SUM(Q261,Q268,Q274)</f>
        <v>0</v>
      </c>
      <c r="Y253" s="44">
        <f>SUM(COUNTIFS($C$258:$C$274,3,$D$258:$D$274,V253),COUNTIFS($I$258:$I$274,V253,$Q$258:$Q$274,3))</f>
        <v>0</v>
      </c>
      <c r="Z253" s="44">
        <f>SUM(COUNTIFS($C$258:$C$274,2,$D$258:$D$274,V253),COUNTIFS($I$258:$I$274,V253,$Q$258:$Q$274,2))</f>
        <v>0</v>
      </c>
      <c r="AA253" s="44">
        <f>SUM(COUNTIFS($C$258:$C$274,1,$D$258:$D$274,V253),COUNTIFS($I$258:$I$274,V253,$Q$258:$Q$274,1))</f>
        <v>0</v>
      </c>
      <c r="AB253" s="44">
        <f>SUM(COUNTIFS($C$258:$C$274,0,$D$258:$D$274,V253),COUNTIFS($I$258:$I$274,V253,$Q$258:$Q$274,0))</f>
        <v>3</v>
      </c>
      <c r="AC253" s="121">
        <f>SUM(H261,H268,H274)</f>
        <v>136</v>
      </c>
      <c r="AD253" s="121">
        <f>SUM(F261,F268,F274)</f>
        <v>160</v>
      </c>
      <c r="AE253" s="121">
        <f>AC253-AD253</f>
        <v>-24</v>
      </c>
      <c r="AF253" s="121">
        <f>IF(OR($F$133="",$H$133=""),0,(X253/(W253*3)))</f>
        <v>0</v>
      </c>
      <c r="AG253" s="44">
        <f>(X253*10^15)+((AC253+5000)*10^6)+AE253*10+U253</f>
        <v>5135999761</v>
      </c>
      <c r="AH253" s="44">
        <f>LARGE($AG$253:$AG$256,U253)</f>
        <v>9000005207000414</v>
      </c>
      <c r="AI253" s="90">
        <f>MATCH(AH253,$AG$253:$AG$256,0)</f>
        <v>4</v>
      </c>
      <c r="AJ253" s="44"/>
      <c r="AK253" s="44"/>
    </row>
    <row r="254" spans="3:37" ht="15.75" thickBot="1">
      <c r="C254" s="40">
        <f>IF(OR(F254="",H254=""),"",IF(F254=H254,1,IF(F254&lt;H254,0,IF(F254-H254&lt;10,2,IF(F254&gt;H254,3,SE)))))</f>
        <v>2</v>
      </c>
      <c r="D254" s="11" t="s">
        <v>15</v>
      </c>
      <c r="E254" s="9" t="str">
        <f t="shared" ref="E254:E256" si="118">VLOOKUP(AI254,$U$253:$AH$256,2)</f>
        <v>MESTRE CIÇA</v>
      </c>
      <c r="F254" s="9">
        <f t="shared" ref="F254:F256" si="119">VLOOKUP(AI254,$U$253:$AH$256,3)</f>
        <v>3</v>
      </c>
      <c r="G254" s="9">
        <f t="shared" ref="G254:G256" si="120">VLOOKUP(AI254,$U$253:$AH$256,4)</f>
        <v>5</v>
      </c>
      <c r="H254" s="10">
        <f t="shared" ref="H254:H256" si="121">VLOOKUP(AI254,$U$253:$AH$256,5)</f>
        <v>1</v>
      </c>
      <c r="I254" s="10">
        <f t="shared" ref="I254:I256" si="122">VLOOKUP(AI254,$U$253:$AH$256,6)</f>
        <v>1</v>
      </c>
      <c r="J254" s="10">
        <f t="shared" ref="J254:J256" si="123">VLOOKUP(AI254,$U$253:$AH$256,7)</f>
        <v>0</v>
      </c>
      <c r="K254" s="10">
        <f t="shared" ref="K254:K256" si="124">VLOOKUP(AI254,$U$253:$AH$256,8)</f>
        <v>1</v>
      </c>
      <c r="L254" s="10">
        <f t="shared" ref="L254:L256" si="125">VLOOKUP(AI254,$U$253:$AH$256,9)</f>
        <v>165</v>
      </c>
      <c r="M254" s="10">
        <f t="shared" ref="M254:M256" si="126">VLOOKUP(AI254,$U$253:$AH$256,10)</f>
        <v>143</v>
      </c>
      <c r="N254" s="9">
        <f t="shared" ref="N254:N256" si="127">VLOOKUP(AI254,$U$253:$AH$256,11)</f>
        <v>22</v>
      </c>
      <c r="O254" s="16">
        <f t="shared" ref="O254:O256" si="128">VLOOKUP(AI254,$U$253:$AH$256,12)</f>
        <v>0.55555555555555558</v>
      </c>
      <c r="Q254" s="40"/>
      <c r="R254" s="46"/>
      <c r="S254" s="41" t="s">
        <v>35</v>
      </c>
      <c r="T254" s="40"/>
      <c r="U254" s="45">
        <v>2</v>
      </c>
      <c r="V254" s="44" t="str">
        <f>IF(OR('1ª fase'!K53="",'1ª fase'!M53=""),"VENCEDOR J31",IF('1ª fase'!K53&gt;'1ª fase'!M53,'1ª fase'!C53,'1ª fase'!N53))</f>
        <v>MESTRE CIÇA</v>
      </c>
      <c r="W254" s="44">
        <f>COUNT(H274,F267,F262)</f>
        <v>3</v>
      </c>
      <c r="X254" s="44">
        <f>SUM(Q262,Q267,C274)</f>
        <v>5</v>
      </c>
      <c r="Y254" s="44">
        <f t="shared" ref="Y254:Y256" si="129">SUM(COUNTIFS($C$258:$C$274,3,$D$258:$D$274,V254),COUNTIFS($I$258:$I$274,V254,$Q$258:$Q$274,3))</f>
        <v>1</v>
      </c>
      <c r="Z254" s="44">
        <f t="shared" ref="Z254:Z256" si="130">SUM(COUNTIFS($C$258:$C$274,2,$D$258:$D$274,V254),COUNTIFS($I$258:$I$274,V254,$Q$258:$Q$274,2))</f>
        <v>1</v>
      </c>
      <c r="AA254" s="44">
        <f t="shared" ref="AA254:AA256" si="131">SUM(COUNTIFS($C$258:$C$274,1,$D$258:$D$274,V254),COUNTIFS($I$258:$I$274,V254,$Q$258:$Q$274,1))</f>
        <v>0</v>
      </c>
      <c r="AB254" s="44">
        <f t="shared" ref="AB254:AB256" si="132">SUM(COUNTIFS($C$258:$C$274,0,$D$258:$D$274,V254),COUNTIFS($I$258:$I$274,V254,$Q$258:$Q$274,0))</f>
        <v>1</v>
      </c>
      <c r="AC254" s="121">
        <f>SUM(H262,H267,F274)</f>
        <v>165</v>
      </c>
      <c r="AD254" s="121">
        <f>SUM(H274,F267,F262)</f>
        <v>143</v>
      </c>
      <c r="AE254" s="121">
        <f t="shared" ref="AE254:AE256" si="133">AC254-AD254</f>
        <v>22</v>
      </c>
      <c r="AF254" s="121">
        <f>IF(OR($F$133="",$H$133=""),0,(X254/(W254*3)))</f>
        <v>0.55555555555555558</v>
      </c>
      <c r="AG254" s="44">
        <f t="shared" ref="AG254:AG256" si="134">(X254*10^15)+((AC254+5000)*10^6)+AE254*10+U254</f>
        <v>5000005165000222</v>
      </c>
      <c r="AH254" s="44">
        <f t="shared" ref="AH254:AH256" si="135">LARGE($AG$253:$AG$256,U254)</f>
        <v>5000005165000222</v>
      </c>
      <c r="AI254" s="90">
        <f t="shared" ref="AI254:AI256" si="136">MATCH(AH254,$AG$253:$AG$256,0)</f>
        <v>2</v>
      </c>
      <c r="AJ254" s="44"/>
      <c r="AK254" s="44"/>
    </row>
    <row r="255" spans="3:37" ht="15.75" thickBot="1">
      <c r="C255" s="40">
        <f>IF(OR(F255="",H255=""),"",IF(F255=H255,1,IF(F255&lt;H255,0,IF(F255-H255&lt;10,2,IF(F255&gt;H255,3,SE)))))</f>
        <v>2</v>
      </c>
      <c r="D255" s="30" t="s">
        <v>16</v>
      </c>
      <c r="E255" s="34" t="str">
        <f t="shared" si="118"/>
        <v>Caveirão de Favela FC</v>
      </c>
      <c r="F255" s="34">
        <f t="shared" si="119"/>
        <v>3</v>
      </c>
      <c r="G255" s="34">
        <f t="shared" si="120"/>
        <v>2</v>
      </c>
      <c r="H255" s="35">
        <f t="shared" si="121"/>
        <v>0</v>
      </c>
      <c r="I255" s="35">
        <f t="shared" si="122"/>
        <v>1</v>
      </c>
      <c r="J255" s="35">
        <f t="shared" si="123"/>
        <v>0</v>
      </c>
      <c r="K255" s="35">
        <f t="shared" si="124"/>
        <v>2</v>
      </c>
      <c r="L255" s="35">
        <f t="shared" si="125"/>
        <v>95</v>
      </c>
      <c r="M255" s="35">
        <f t="shared" si="126"/>
        <v>134</v>
      </c>
      <c r="N255" s="34">
        <f t="shared" si="127"/>
        <v>-39</v>
      </c>
      <c r="O255" s="36">
        <f t="shared" si="128"/>
        <v>0.22222222222222221</v>
      </c>
      <c r="Q255" s="40"/>
      <c r="R255" s="47"/>
      <c r="S255" s="19" t="s">
        <v>38</v>
      </c>
      <c r="T255" s="40"/>
      <c r="U255" s="45">
        <v>3</v>
      </c>
      <c r="V255" s="44" t="str">
        <f>IF(OR('1ª fase'!K52="",'1ª fase'!M52=""),"VENCEDOR J30",IF('1ª fase'!K52&gt;'1ª fase'!M52,'1ª fase'!C52,'1ª fase'!N52))</f>
        <v>Caveirão de Favela FC</v>
      </c>
      <c r="W255" s="44">
        <f>COUNT(H273,F268,F262)</f>
        <v>3</v>
      </c>
      <c r="X255" s="44">
        <f>SUM(C262,C268,Q273)</f>
        <v>2</v>
      </c>
      <c r="Y255" s="44">
        <f t="shared" si="129"/>
        <v>0</v>
      </c>
      <c r="Z255" s="44">
        <f t="shared" si="130"/>
        <v>1</v>
      </c>
      <c r="AA255" s="44">
        <f t="shared" si="131"/>
        <v>0</v>
      </c>
      <c r="AB255" s="44">
        <f t="shared" si="132"/>
        <v>2</v>
      </c>
      <c r="AC255" s="121">
        <f>SUM(H273,F268,F262)</f>
        <v>95</v>
      </c>
      <c r="AD255" s="121">
        <f>SUM(H262,H268,F273)</f>
        <v>134</v>
      </c>
      <c r="AE255" s="121">
        <f t="shared" si="133"/>
        <v>-39</v>
      </c>
      <c r="AF255" s="121">
        <f>IF(OR($F$133="",$H$133=""),0,(X255/(W255*3)))</f>
        <v>0.22222222222222221</v>
      </c>
      <c r="AG255" s="44">
        <f t="shared" si="134"/>
        <v>2000005094999613</v>
      </c>
      <c r="AH255" s="44">
        <f t="shared" si="135"/>
        <v>2000005094999613</v>
      </c>
      <c r="AI255" s="90">
        <f t="shared" si="136"/>
        <v>3</v>
      </c>
      <c r="AJ255" s="44"/>
      <c r="AK255" s="44"/>
    </row>
    <row r="256" spans="3:37" ht="15.75" thickBot="1">
      <c r="C256" s="40">
        <f>IF(OR(F256="",H256=""),"",IF(F256=H256,1,IF(F256&lt;H256,0,IF(F256-H256&lt;10,2,IF(F256&gt;H256,3,SE)))))</f>
        <v>2</v>
      </c>
      <c r="D256" s="12" t="s">
        <v>17</v>
      </c>
      <c r="E256" s="37" t="str">
        <f t="shared" si="118"/>
        <v>Bolacha pc.</v>
      </c>
      <c r="F256" s="37">
        <f t="shared" si="119"/>
        <v>3</v>
      </c>
      <c r="G256" s="37">
        <f t="shared" si="120"/>
        <v>0</v>
      </c>
      <c r="H256" s="38">
        <f t="shared" si="121"/>
        <v>0</v>
      </c>
      <c r="I256" s="38">
        <f t="shared" si="122"/>
        <v>0</v>
      </c>
      <c r="J256" s="38">
        <f t="shared" si="123"/>
        <v>0</v>
      </c>
      <c r="K256" s="38">
        <f t="shared" si="124"/>
        <v>3</v>
      </c>
      <c r="L256" s="38">
        <f t="shared" si="125"/>
        <v>136</v>
      </c>
      <c r="M256" s="38">
        <f t="shared" si="126"/>
        <v>160</v>
      </c>
      <c r="N256" s="37">
        <f t="shared" si="127"/>
        <v>-24</v>
      </c>
      <c r="O256" s="39">
        <f t="shared" si="128"/>
        <v>0</v>
      </c>
      <c r="Q256" s="40"/>
      <c r="R256" s="48"/>
      <c r="S256" s="41" t="s">
        <v>37</v>
      </c>
      <c r="T256" s="40"/>
      <c r="U256" s="45">
        <v>4</v>
      </c>
      <c r="V256" s="44" t="str">
        <f>IF(OR('1ª fase'!K51="",'1ª fase'!M51=""),"VENCEDOR J29",IF('1ª fase'!K51&gt;'1ª fase'!M51,'1ª fase'!C51,'1ª fase'!N51))</f>
        <v>Rock celeste F.C</v>
      </c>
      <c r="W256" s="44">
        <f>COUNT(F261,F267,F273)</f>
        <v>3</v>
      </c>
      <c r="X256" s="44">
        <f>SUM(C261,C267,C273)</f>
        <v>9</v>
      </c>
      <c r="Y256" s="44">
        <f t="shared" si="129"/>
        <v>3</v>
      </c>
      <c r="Z256" s="44">
        <f t="shared" si="130"/>
        <v>0</v>
      </c>
      <c r="AA256" s="44">
        <f t="shared" si="131"/>
        <v>0</v>
      </c>
      <c r="AB256" s="44">
        <f t="shared" si="132"/>
        <v>0</v>
      </c>
      <c r="AC256" s="121">
        <f>SUM(F261,F267,F273)</f>
        <v>207</v>
      </c>
      <c r="AD256" s="121">
        <f>SUM(,H273,H267,H261)</f>
        <v>166</v>
      </c>
      <c r="AE256" s="121">
        <f t="shared" si="133"/>
        <v>41</v>
      </c>
      <c r="AF256" s="121">
        <f>IF(OR($F$133="",$H$133=""),0,(X256/(W256*3)))</f>
        <v>1</v>
      </c>
      <c r="AG256" s="44">
        <f t="shared" si="134"/>
        <v>9000005207000414</v>
      </c>
      <c r="AH256" s="44">
        <f t="shared" si="135"/>
        <v>5135999761</v>
      </c>
      <c r="AI256" s="90">
        <f t="shared" si="136"/>
        <v>1</v>
      </c>
      <c r="AJ256" s="44"/>
      <c r="AK256" s="44"/>
    </row>
    <row r="257" spans="3:37" ht="15.75" thickBot="1">
      <c r="C257" s="40" t="str">
        <f>IF(OR(F257="",H257=""),"",IF(F257=H257,1,IF(F257&lt;H257,0,IF(F257-H257&lt;10,2,IF(F257&gt;H257,3,SE)))))</f>
        <v/>
      </c>
      <c r="Q257" s="40" t="str">
        <f>IF(OR(H257="",F257=""),"",IF(H257=F257,1,IF(H257&lt;F257,0,IF(H257-F257&lt;10,2,IF(H257&gt;F257,3,SE)))))</f>
        <v/>
      </c>
      <c r="T257" s="40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</row>
    <row r="258" spans="3:37">
      <c r="C258" s="40" t="str">
        <f>IF(OR(F258="",H258=""),"",IF(F258=H258,1,IF(F258&lt;H258,0,IF(F258-H258&lt;10,2,IF(F258&gt;H258,3,SE)))))</f>
        <v/>
      </c>
      <c r="D258" s="198" t="s">
        <v>160</v>
      </c>
      <c r="E258" s="199"/>
      <c r="F258" s="199"/>
      <c r="G258" s="199"/>
      <c r="H258" s="199"/>
      <c r="I258" s="199"/>
      <c r="J258" s="199"/>
      <c r="K258" s="199"/>
      <c r="L258" s="199"/>
      <c r="M258" s="199"/>
      <c r="N258" s="199"/>
      <c r="O258" s="199"/>
      <c r="P258" s="200"/>
      <c r="Q258" s="40" t="str">
        <f>IF(OR(H258="",F258=""),"",IF(H258=F258,1,IF(H258&lt;F258,0,IF(H258-F258&lt;10,2,IF(H258&gt;F258,3,SE)))))</f>
        <v/>
      </c>
      <c r="T258" s="40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</row>
    <row r="259" spans="3:37" ht="15.75" thickBot="1">
      <c r="C259" s="40" t="str">
        <f>IF(OR(F259="",H259=""),"",IF(F259=H259,1,IF(F259&lt;H259,0,IF(F259-H259&lt;10,2,IF(F259&gt;H259,3,SE)))))</f>
        <v/>
      </c>
      <c r="D259" s="204"/>
      <c r="E259" s="205"/>
      <c r="F259" s="205"/>
      <c r="G259" s="205"/>
      <c r="H259" s="205"/>
      <c r="I259" s="205"/>
      <c r="J259" s="205"/>
      <c r="K259" s="205"/>
      <c r="L259" s="205"/>
      <c r="M259" s="205"/>
      <c r="N259" s="205"/>
      <c r="O259" s="205"/>
      <c r="P259" s="206"/>
      <c r="Q259" s="40" t="str">
        <f>IF(OR(H259="",F259=""),"",IF(H259=F259,1,IF(H259&lt;F259,0,IF(H259-F259&lt;10,2,IF(H259&gt;F259,3,SE)))))</f>
        <v/>
      </c>
      <c r="T259" s="40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</row>
    <row r="260" spans="3:37">
      <c r="C260" s="40" t="str">
        <f>IF(OR(F260="",H260=""),"",IF(F260=H260,1,IF(F260&lt;H260,0,IF(F260-H260&lt;10,2,IF(F260&gt;H260,3,SE)))))</f>
        <v/>
      </c>
      <c r="Q260" s="40" t="str">
        <f>IF(OR(H260="",F260=""),"",IF(H260=F260,1,IF(H260&lt;F260,0,IF(H260-F260&lt;10,2,IF(H260&gt;F260,3,SE)))))</f>
        <v/>
      </c>
      <c r="T260" s="40"/>
      <c r="V260" s="44"/>
      <c r="W260" s="44"/>
      <c r="X260" s="45"/>
      <c r="Y260" s="45"/>
      <c r="Z260" s="45"/>
      <c r="AA260" s="45"/>
      <c r="AB260" s="44"/>
      <c r="AC260" s="44"/>
      <c r="AD260" s="44"/>
      <c r="AE260" s="44"/>
      <c r="AF260" s="44"/>
      <c r="AG260" s="44"/>
      <c r="AH260" s="44"/>
      <c r="AI260" s="44"/>
      <c r="AJ260" s="44"/>
    </row>
    <row r="261" spans="3:37">
      <c r="C261" s="40">
        <f>IF(OR(F261="",H261=""),"",IF(F261=H261,1,IF(F261&lt;H261,0,IF(F261-H261&lt;10,2,IF(F261&gt;H261,3,SE)))))</f>
        <v>3</v>
      </c>
      <c r="D261" s="197" t="str">
        <f>V256</f>
        <v>Rock celeste F.C</v>
      </c>
      <c r="E261" s="197"/>
      <c r="F261" s="141">
        <v>73</v>
      </c>
      <c r="G261" s="17" t="s">
        <v>19</v>
      </c>
      <c r="H261" s="140">
        <v>61</v>
      </c>
      <c r="I261" s="197" t="str">
        <f>V253</f>
        <v>Bolacha pc.</v>
      </c>
      <c r="J261" s="197"/>
      <c r="K261" s="197"/>
      <c r="L261" s="197"/>
      <c r="M261" s="197"/>
      <c r="N261" s="197"/>
      <c r="O261" s="197"/>
      <c r="P261" s="197"/>
      <c r="Q261" s="40">
        <f>IF(OR(H261="",F261=""),"",IF(H261=F261,1,IF(H261&lt;F261,0,IF(H261-F261&lt;10,2,IF(H261&gt;F261,3,SE)))))</f>
        <v>0</v>
      </c>
      <c r="T261" s="40"/>
      <c r="V261" s="44"/>
      <c r="W261" s="44"/>
      <c r="X261" s="45"/>
      <c r="Y261" s="45"/>
      <c r="Z261" s="45"/>
      <c r="AA261" s="45"/>
      <c r="AB261" s="44"/>
      <c r="AC261" s="44"/>
      <c r="AD261" s="44"/>
      <c r="AE261" s="44"/>
      <c r="AF261" s="44"/>
      <c r="AG261" s="44"/>
      <c r="AH261" s="44"/>
      <c r="AI261" s="44"/>
      <c r="AJ261" s="44"/>
    </row>
    <row r="262" spans="3:37">
      <c r="C262" s="40">
        <f>IF(OR(F262="",H262=""),"",IF(F262=H262,1,IF(F262&lt;H262,0,IF(F262-H262&lt;10,2,IF(F262&gt;H262,3,SE)))))</f>
        <v>0</v>
      </c>
      <c r="D262" s="197" t="str">
        <f>V255</f>
        <v>Caveirão de Favela FC</v>
      </c>
      <c r="E262" s="197"/>
      <c r="F262" s="140">
        <v>18</v>
      </c>
      <c r="G262" s="17" t="s">
        <v>19</v>
      </c>
      <c r="H262" s="141">
        <v>50</v>
      </c>
      <c r="I262" s="197" t="str">
        <f>V254</f>
        <v>MESTRE CIÇA</v>
      </c>
      <c r="J262" s="197"/>
      <c r="K262" s="197"/>
      <c r="L262" s="197"/>
      <c r="M262" s="197"/>
      <c r="N262" s="197"/>
      <c r="O262" s="197"/>
      <c r="P262" s="197"/>
      <c r="Q262" s="40">
        <f>IF(OR(H262="",F262=""),"",IF(H262=F262,1,IF(H262&lt;F262,0,IF(H262-F262&lt;10,2,IF(H262&gt;F262,3,SE)))))</f>
        <v>3</v>
      </c>
      <c r="R262" s="40"/>
      <c r="S262" s="40"/>
      <c r="T262" s="40"/>
      <c r="V262" s="44"/>
      <c r="W262" s="44"/>
      <c r="X262" s="45"/>
      <c r="Y262" s="45"/>
      <c r="Z262" s="45"/>
      <c r="AA262" s="45"/>
      <c r="AB262" s="44"/>
      <c r="AC262" s="44"/>
      <c r="AD262" s="44"/>
      <c r="AE262" s="44"/>
      <c r="AF262" s="44"/>
      <c r="AG262" s="44"/>
      <c r="AH262" s="44"/>
      <c r="AI262" s="44"/>
      <c r="AJ262" s="44"/>
    </row>
    <row r="263" spans="3:37" ht="15.75" thickBot="1">
      <c r="C263" s="40" t="str">
        <f>IF(OR(F263="",H263=""),"",IF(F263=H263,1,IF(F263&lt;H263,0,IF(F263-H263&lt;10,2,IF(F263&gt;H263,3,SE)))))</f>
        <v/>
      </c>
      <c r="Q263" s="40" t="str">
        <f>IF(OR(H263="",F263=""),"",IF(H263=F263,1,IF(H263&lt;F263,0,IF(H263-F263&lt;10,2,IF(H263&gt;F263,3,SE)))))</f>
        <v/>
      </c>
      <c r="R263" s="40"/>
      <c r="S263" s="40"/>
      <c r="T263" s="40"/>
      <c r="V263" s="44"/>
      <c r="W263" s="44"/>
      <c r="X263" s="45"/>
      <c r="Y263" s="45"/>
      <c r="Z263" s="45"/>
      <c r="AA263" s="45"/>
      <c r="AB263" s="44"/>
      <c r="AC263" s="44"/>
      <c r="AD263" s="44"/>
      <c r="AE263" s="44"/>
      <c r="AF263" s="44"/>
      <c r="AG263" s="44"/>
      <c r="AH263" s="44"/>
      <c r="AI263" s="44"/>
      <c r="AJ263" s="44"/>
    </row>
    <row r="264" spans="3:37">
      <c r="C264" s="40" t="str">
        <f>IF(OR(F264="",H264=""),"",IF(F264=H264,1,IF(F264&lt;H264,0,IF(F264-H264&lt;10,2,IF(F264&gt;H264,3,SE)))))</f>
        <v/>
      </c>
      <c r="D264" s="207" t="s">
        <v>161</v>
      </c>
      <c r="E264" s="208"/>
      <c r="F264" s="208"/>
      <c r="G264" s="208"/>
      <c r="H264" s="208"/>
      <c r="I264" s="208"/>
      <c r="J264" s="208"/>
      <c r="K264" s="208"/>
      <c r="L264" s="208"/>
      <c r="M264" s="208"/>
      <c r="N264" s="208"/>
      <c r="O264" s="208"/>
      <c r="P264" s="209"/>
      <c r="Q264" s="40" t="str">
        <f>IF(OR(H264="",F264=""),"",IF(H264=F264,1,IF(H264&lt;F264,0,IF(H264-F264&lt;10,2,IF(H264&gt;F264,3,SE)))))</f>
        <v/>
      </c>
      <c r="R264" s="40"/>
      <c r="S264" s="40"/>
      <c r="T264" s="40"/>
      <c r="V264" s="44"/>
      <c r="W264" s="44"/>
      <c r="X264" s="45"/>
      <c r="Y264" s="45"/>
      <c r="Z264" s="45"/>
      <c r="AA264" s="45"/>
      <c r="AB264" s="90"/>
      <c r="AC264" s="44"/>
      <c r="AD264" s="44"/>
      <c r="AE264" s="44"/>
      <c r="AF264" s="44"/>
      <c r="AG264" s="44"/>
      <c r="AH264" s="44"/>
      <c r="AI264" s="44"/>
      <c r="AJ264" s="44"/>
    </row>
    <row r="265" spans="3:37" ht="15.75" thickBot="1">
      <c r="C265" s="40" t="str">
        <f>IF(OR(F265="",H265=""),"",IF(F265=H265,1,IF(F265&lt;H265,0,IF(F265-H265&lt;10,2,IF(F265&gt;H265,3,SE)))))</f>
        <v/>
      </c>
      <c r="D265" s="210"/>
      <c r="E265" s="211"/>
      <c r="F265" s="211"/>
      <c r="G265" s="211"/>
      <c r="H265" s="211"/>
      <c r="I265" s="211"/>
      <c r="J265" s="211"/>
      <c r="K265" s="211"/>
      <c r="L265" s="211"/>
      <c r="M265" s="211"/>
      <c r="N265" s="211"/>
      <c r="O265" s="211"/>
      <c r="P265" s="212"/>
      <c r="Q265" s="40" t="str">
        <f>IF(OR(H265="",F265=""),"",IF(H265=F265,1,IF(H265&lt;F265,0,IF(H265-F265&lt;10,2,IF(H265&gt;F265,3,SE)))))</f>
        <v/>
      </c>
      <c r="R265" s="40"/>
      <c r="S265" s="40"/>
      <c r="T265" s="40"/>
      <c r="V265" s="44"/>
      <c r="W265" s="44"/>
      <c r="X265" s="44"/>
      <c r="Y265" s="90"/>
      <c r="Z265" s="90"/>
      <c r="AA265" s="90"/>
      <c r="AB265" s="90"/>
      <c r="AC265" s="44"/>
      <c r="AD265" s="44"/>
      <c r="AE265" s="44"/>
      <c r="AF265" s="44"/>
      <c r="AG265" s="44"/>
      <c r="AH265" s="44"/>
      <c r="AI265" s="44"/>
      <c r="AJ265" s="44"/>
    </row>
    <row r="266" spans="3:37">
      <c r="C266" s="40" t="str">
        <f>IF(OR(F266="",H266=""),"",IF(F266=H266,1,IF(F266&lt;H266,0,IF(F266-H266&lt;10,2,IF(F266&gt;H266,3,SE)))))</f>
        <v/>
      </c>
      <c r="Q266" s="40" t="str">
        <f>IF(OR(H266="",F266=""),"",IF(H266=F266,1,IF(H266&lt;F266,0,IF(H266-F266&lt;10,2,IF(H266&gt;F266,3,SE)))))</f>
        <v/>
      </c>
      <c r="R266" s="40"/>
      <c r="S266" s="40"/>
      <c r="T266" s="40"/>
      <c r="V266" s="44"/>
      <c r="W266" s="44"/>
      <c r="X266" s="44"/>
      <c r="Y266" s="90"/>
      <c r="Z266" s="90"/>
      <c r="AA266" s="90"/>
      <c r="AB266" s="90"/>
      <c r="AC266" s="44"/>
      <c r="AD266" s="44"/>
      <c r="AE266" s="44"/>
      <c r="AF266" s="44"/>
      <c r="AG266" s="44"/>
      <c r="AH266" s="44"/>
      <c r="AI266" s="44"/>
      <c r="AJ266" s="44"/>
    </row>
    <row r="267" spans="3:37">
      <c r="C267" s="40">
        <f>IF(OR(F267="",H267=""),"",IF(F267=H267,1,IF(F267&lt;H267,0,IF(F267-H267&lt;10,2,IF(F267&gt;H267,3,SE)))))</f>
        <v>3</v>
      </c>
      <c r="D267" s="197" t="str">
        <f>V256</f>
        <v>Rock celeste F.C</v>
      </c>
      <c r="E267" s="197"/>
      <c r="F267" s="141">
        <v>91</v>
      </c>
      <c r="G267" s="18" t="s">
        <v>19</v>
      </c>
      <c r="H267" s="140">
        <v>75</v>
      </c>
      <c r="I267" s="197" t="str">
        <f>V254</f>
        <v>MESTRE CIÇA</v>
      </c>
      <c r="J267" s="197"/>
      <c r="K267" s="197"/>
      <c r="L267" s="197"/>
      <c r="M267" s="197"/>
      <c r="N267" s="197"/>
      <c r="O267" s="197"/>
      <c r="P267" s="197"/>
      <c r="Q267" s="40">
        <f>IF(OR(H267="",F267=""),"",IF(H267=F267,1,IF(H267&lt;F267,0,IF(H267-F267&lt;10,2,IF(H267&gt;F267,3,SE)))))</f>
        <v>0</v>
      </c>
      <c r="R267" s="40"/>
      <c r="S267" s="40"/>
      <c r="T267" s="40"/>
      <c r="V267" s="44"/>
      <c r="W267" s="44"/>
      <c r="X267" s="44"/>
      <c r="Y267" s="90"/>
      <c r="Z267" s="90"/>
      <c r="AA267" s="90"/>
      <c r="AB267" s="90"/>
      <c r="AC267" s="44"/>
      <c r="AD267" s="44"/>
      <c r="AE267" s="44"/>
      <c r="AF267" s="44"/>
      <c r="AG267" s="44"/>
      <c r="AH267" s="44"/>
      <c r="AI267" s="44"/>
      <c r="AJ267" s="44"/>
    </row>
    <row r="268" spans="3:37">
      <c r="C268" s="40">
        <f>IF(OR(F268="",H268=""),"",IF(F268=H268,1,IF(F268&lt;H268,0,IF(F268-H268&lt;10,2,IF(F268&gt;H268,3,SE)))))</f>
        <v>2</v>
      </c>
      <c r="D268" s="197" t="str">
        <f>V255</f>
        <v>Caveirão de Favela FC</v>
      </c>
      <c r="E268" s="197"/>
      <c r="F268" s="141">
        <v>47</v>
      </c>
      <c r="G268" s="18" t="s">
        <v>19</v>
      </c>
      <c r="H268" s="140">
        <v>41</v>
      </c>
      <c r="I268" s="197" t="str">
        <f>V253</f>
        <v>Bolacha pc.</v>
      </c>
      <c r="J268" s="197"/>
      <c r="K268" s="197"/>
      <c r="L268" s="197"/>
      <c r="M268" s="197"/>
      <c r="N268" s="197"/>
      <c r="O268" s="197"/>
      <c r="P268" s="197"/>
      <c r="Q268" s="40">
        <f>IF(OR(H268="",F268=""),"",IF(H268=F268,1,IF(H268&lt;F268,0,IF(H268-F268&lt;10,2,IF(H268&gt;F268,3,SE)))))</f>
        <v>0</v>
      </c>
      <c r="R268" s="40"/>
      <c r="S268" s="40"/>
      <c r="T268" s="40"/>
      <c r="V268" s="44"/>
      <c r="W268" s="44"/>
      <c r="X268" s="44"/>
      <c r="Y268" s="90"/>
      <c r="Z268" s="90"/>
      <c r="AA268" s="90"/>
      <c r="AB268" s="90"/>
      <c r="AC268" s="44"/>
      <c r="AD268" s="44"/>
      <c r="AE268" s="44"/>
      <c r="AF268" s="44"/>
      <c r="AG268" s="44"/>
      <c r="AH268" s="44"/>
      <c r="AI268" s="44"/>
      <c r="AJ268" s="44"/>
    </row>
    <row r="269" spans="3:37" ht="15.75" thickBot="1">
      <c r="C269" s="40" t="str">
        <f>IF(OR(F269="",H269=""),"",IF(F269=H269,1,IF(F269&lt;H269,0,IF(F269-H269&lt;10,2,IF(F269&gt;H269,3,SE)))))</f>
        <v/>
      </c>
      <c r="F269" s="20"/>
      <c r="Q269" s="40" t="str">
        <f>IF(OR(H269="",F269=""),"",IF(H269=F269,1,IF(H269&lt;F269,0,IF(H269-F269&lt;10,2,IF(H269&gt;F269,3,SE)))))</f>
        <v/>
      </c>
      <c r="R269" s="40"/>
      <c r="S269" s="40"/>
      <c r="T269" s="40"/>
      <c r="V269" s="44"/>
      <c r="W269" s="44"/>
      <c r="X269" s="44"/>
      <c r="Y269" s="90"/>
      <c r="Z269" s="90"/>
      <c r="AA269" s="90"/>
      <c r="AB269" s="90"/>
      <c r="AC269" s="44"/>
      <c r="AD269" s="44"/>
      <c r="AE269" s="44"/>
      <c r="AF269" s="44"/>
      <c r="AG269" s="44"/>
      <c r="AH269" s="44"/>
      <c r="AI269" s="44"/>
      <c r="AJ269" s="44"/>
    </row>
    <row r="270" spans="3:37">
      <c r="C270" s="40" t="str">
        <f>IF(OR(F270="",H270=""),"",IF(F270=H270,1,IF(F270&lt;H270,0,IF(F270-H270&lt;10,2,IF(F270&gt;H270,3,SE)))))</f>
        <v/>
      </c>
      <c r="D270" s="207" t="s">
        <v>162</v>
      </c>
      <c r="E270" s="208"/>
      <c r="F270" s="208"/>
      <c r="G270" s="208"/>
      <c r="H270" s="208"/>
      <c r="I270" s="208"/>
      <c r="J270" s="208"/>
      <c r="K270" s="208"/>
      <c r="L270" s="208"/>
      <c r="M270" s="208"/>
      <c r="N270" s="208"/>
      <c r="O270" s="208"/>
      <c r="P270" s="209"/>
      <c r="Q270" s="40" t="str">
        <f>IF(OR(H270="",F270=""),"",IF(H270=F270,1,IF(H270&lt;F270,0,IF(H270-F270&lt;10,2,IF(H270&gt;F270,3,SE)))))</f>
        <v/>
      </c>
      <c r="R270" s="40"/>
      <c r="S270" s="40"/>
      <c r="T270" s="40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</row>
    <row r="271" spans="3:37" ht="15.75" thickBot="1">
      <c r="C271" s="40" t="str">
        <f>IF(OR(F271="",H271=""),"",IF(F271=H271,1,IF(F271&lt;H271,0,IF(F271-H271&lt;10,2,IF(F271&gt;H271,3,SE)))))</f>
        <v/>
      </c>
      <c r="D271" s="210"/>
      <c r="E271" s="211"/>
      <c r="F271" s="211"/>
      <c r="G271" s="211"/>
      <c r="H271" s="211"/>
      <c r="I271" s="211"/>
      <c r="J271" s="211"/>
      <c r="K271" s="211"/>
      <c r="L271" s="211"/>
      <c r="M271" s="211"/>
      <c r="N271" s="211"/>
      <c r="O271" s="211"/>
      <c r="P271" s="212"/>
      <c r="Q271" s="40" t="str">
        <f>IF(OR(H271="",F271=""),"",IF(H271=F271,1,IF(H271&lt;F271,0,IF(H271-F271&lt;10,2,IF(H271&gt;F271,3,SE)))))</f>
        <v/>
      </c>
      <c r="R271" s="40"/>
      <c r="S271" s="40"/>
      <c r="T271" s="40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</row>
    <row r="272" spans="3:37">
      <c r="C272" s="40" t="str">
        <f>IF(OR(F272="",H272=""),"",IF(F272=H272,1,IF(F272&lt;H272,0,IF(F272-H272&lt;10,2,IF(F272&gt;H272,3,SE)))))</f>
        <v/>
      </c>
      <c r="Q272" s="40" t="str">
        <f>IF(OR(H272="",F272=""),"",IF(H272=F272,1,IF(H272&lt;F272,0,IF(H272-F272&lt;10,2,IF(H272&gt;F272,3,SE)))))</f>
        <v/>
      </c>
      <c r="R272" s="40"/>
      <c r="S272" s="40"/>
      <c r="T272" s="40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</row>
    <row r="273" spans="2:39">
      <c r="C273" s="40">
        <f>IF(OR(F273="",H273=""),"",IF(F273=H273,1,IF(F273&lt;H273,0,IF(F273-H273&lt;10,2,IF(F273&gt;H273,3,SE)))))</f>
        <v>3</v>
      </c>
      <c r="D273" s="197" t="str">
        <f>V256</f>
        <v>Rock celeste F.C</v>
      </c>
      <c r="E273" s="197"/>
      <c r="F273" s="141">
        <v>43</v>
      </c>
      <c r="G273" s="17" t="s">
        <v>19</v>
      </c>
      <c r="H273" s="140">
        <v>30</v>
      </c>
      <c r="I273" s="197" t="str">
        <f>V255</f>
        <v>Caveirão de Favela FC</v>
      </c>
      <c r="J273" s="197"/>
      <c r="K273" s="197"/>
      <c r="L273" s="197"/>
      <c r="M273" s="197"/>
      <c r="N273" s="197"/>
      <c r="O273" s="197"/>
      <c r="P273" s="197"/>
      <c r="Q273" s="40">
        <f>IF(OR(H273="",F273=""),"",IF(H273=F273,1,IF(H273&lt;F273,0,IF(H273-F273&lt;10,2,IF(H273&gt;F273,3,SE)))))</f>
        <v>0</v>
      </c>
      <c r="R273" s="40"/>
      <c r="S273" s="40"/>
      <c r="T273" s="40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</row>
    <row r="274" spans="2:39">
      <c r="C274" s="40">
        <f>IF(OR(F274="",H274=""),"",IF(F274=H274,1,IF(F274&lt;H274,0,IF(F274-H274&lt;10,2,IF(F274&gt;H274,3,SE)))))</f>
        <v>2</v>
      </c>
      <c r="D274" s="197" t="str">
        <f>V254</f>
        <v>MESTRE CIÇA</v>
      </c>
      <c r="E274" s="197"/>
      <c r="F274" s="141">
        <v>40</v>
      </c>
      <c r="G274" s="17" t="s">
        <v>19</v>
      </c>
      <c r="H274" s="140">
        <v>34</v>
      </c>
      <c r="I274" s="197" t="str">
        <f>V253</f>
        <v>Bolacha pc.</v>
      </c>
      <c r="J274" s="197"/>
      <c r="K274" s="197"/>
      <c r="L274" s="197"/>
      <c r="M274" s="197"/>
      <c r="N274" s="197"/>
      <c r="O274" s="197"/>
      <c r="P274" s="197"/>
      <c r="Q274" s="40">
        <f>IF(OR(H274="",F274=""),"",IF(H274=F274,1,IF(H274&lt;F274,0,IF(H274-F274&lt;10,2,IF(H274&gt;F274,3,SE)))))</f>
        <v>0</v>
      </c>
      <c r="R274" s="40"/>
      <c r="S274" s="40"/>
      <c r="T274" s="40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</row>
    <row r="275" spans="2:39">
      <c r="C275" s="40" t="str">
        <f>IF(OR(F275="",H275=""),"",IF(F275=H275,1,IF(F275&lt;H275,0,IF(F275-H275&lt;10,2,IF(F275&gt;H275,3,SE)))))</f>
        <v/>
      </c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</row>
    <row r="276" spans="2:39" s="43" customFormat="1" ht="15" customHeight="1">
      <c r="B276" s="42"/>
      <c r="C276" s="40" t="str">
        <f>IF(OR(F276="",H276=""),"",IF(F276=H276,1,IF(F276&lt;H276,0,IF(F276-H276&lt;10,2,IF(F276&gt;H276,3,SE)))))</f>
        <v/>
      </c>
      <c r="D276" s="42"/>
      <c r="E276" s="42"/>
      <c r="F276" s="42"/>
      <c r="G276" s="42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1" t="s">
        <v>5</v>
      </c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143"/>
    </row>
    <row r="277" spans="2:39" s="43" customFormat="1" ht="15" customHeight="1">
      <c r="B277" s="42"/>
      <c r="C277" s="40" t="str">
        <f>IF(OR(F277="",H277=""),"",IF(F277=H277,1,IF(F277&lt;H277,0,IF(F277-H277&lt;10,2,IF(F277&gt;H277,3,SE)))))</f>
        <v/>
      </c>
      <c r="D277" s="42"/>
      <c r="E277" s="42"/>
      <c r="F277" s="42"/>
      <c r="G277" s="42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1" t="s">
        <v>14</v>
      </c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143"/>
    </row>
    <row r="278" spans="2:39" ht="12" customHeight="1">
      <c r="B278" s="42"/>
      <c r="C278" s="40" t="str">
        <f>IF(OR(F278="",H278=""),"",IF(F278=H278,1,IF(F278&lt;H278,0,IF(F278-H278&lt;10,2,IF(F278&gt;H278,3,SE)))))</f>
        <v/>
      </c>
      <c r="D278" s="42"/>
      <c r="E278" s="42"/>
      <c r="F278" s="42"/>
      <c r="G278" s="42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1" t="s">
        <v>28</v>
      </c>
      <c r="T278" s="40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</row>
    <row r="279" spans="2:39" ht="12.75" customHeight="1">
      <c r="B279" s="42"/>
      <c r="C279" s="40" t="str">
        <f>IF(OR(F279="",H279=""),"",IF(F279=H279,1,IF(F279&lt;H279,0,IF(F279-H279&lt;10,2,IF(F279&gt;H279,3,SE)))))</f>
        <v/>
      </c>
      <c r="D279" s="42"/>
      <c r="E279" s="42"/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1" t="s">
        <v>29</v>
      </c>
      <c r="S279" s="41"/>
      <c r="T279" s="40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</row>
    <row r="280" spans="2:39">
      <c r="C280" s="40" t="str">
        <f>IF(OR(F280="",H280=""),"",IF(F280=H280,1,IF(F280&lt;H280,0,IF(F280-H280&lt;10,2,IF(F280&gt;H280,3,SE)))))</f>
        <v/>
      </c>
      <c r="R280" s="41" t="s">
        <v>30</v>
      </c>
      <c r="S280" s="41"/>
      <c r="T280" s="41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</row>
    <row r="281" spans="2:39" ht="15.75" thickBot="1">
      <c r="C281" s="40" t="str">
        <f>IF(OR(F281="",H281=""),"",IF(F281=H281,1,IF(F281&lt;H281,0,IF(F281-H281&lt;10,2,IF(F281&gt;H281,3,SE)))))</f>
        <v/>
      </c>
      <c r="R281" s="41" t="s">
        <v>31</v>
      </c>
      <c r="S281" s="41"/>
      <c r="T281" s="41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</row>
    <row r="282" spans="2:39" ht="15" customHeight="1">
      <c r="C282" s="40" t="str">
        <f>IF(OR(F282="",H282=""),"",IF(F282=H282,1,IF(F282&lt;H282,0,IF(F282-H282&lt;10,2,IF(F282&gt;H282,3,SE)))))</f>
        <v/>
      </c>
      <c r="D282" s="207" t="s">
        <v>167</v>
      </c>
      <c r="E282" s="208"/>
      <c r="F282" s="208"/>
      <c r="G282" s="208"/>
      <c r="H282" s="208"/>
      <c r="I282" s="208"/>
      <c r="J282" s="208"/>
      <c r="K282" s="208"/>
      <c r="L282" s="208"/>
      <c r="M282" s="208"/>
      <c r="N282" s="208"/>
      <c r="O282" s="209"/>
      <c r="Q282" s="41"/>
      <c r="R282" s="41" t="s">
        <v>32</v>
      </c>
      <c r="S282" s="41"/>
      <c r="T282" s="41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</row>
    <row r="283" spans="2:39" ht="15.75" customHeight="1" thickBot="1">
      <c r="C283" s="40" t="str">
        <f>IF(OR(F283="",H283=""),"",IF(F283=H283,1,IF(F283&lt;H283,0,IF(F283-H283&lt;10,2,IF(F283&gt;H283,3,SE)))))</f>
        <v/>
      </c>
      <c r="D283" s="210"/>
      <c r="E283" s="211"/>
      <c r="F283" s="211"/>
      <c r="G283" s="211"/>
      <c r="H283" s="211"/>
      <c r="I283" s="211"/>
      <c r="J283" s="211"/>
      <c r="K283" s="211"/>
      <c r="L283" s="211"/>
      <c r="M283" s="211"/>
      <c r="N283" s="211"/>
      <c r="O283" s="212"/>
      <c r="Q283" s="41"/>
      <c r="R283" s="41" t="s">
        <v>33</v>
      </c>
      <c r="S283" s="41"/>
      <c r="T283" s="41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</row>
    <row r="284" spans="2:39" ht="15.75" thickBot="1">
      <c r="C284" s="40">
        <f>IF(OR(F284="",H284=""),"",IF(F284=H284,1,IF(F284&lt;H284,0,IF(F284-H284&lt;10,2,IF(F284&gt;H284,3,SE)))))</f>
        <v>0</v>
      </c>
      <c r="D284" s="1" t="s">
        <v>0</v>
      </c>
      <c r="E284" s="2" t="s">
        <v>1</v>
      </c>
      <c r="F284" s="2" t="s">
        <v>21</v>
      </c>
      <c r="G284" s="2" t="s">
        <v>2</v>
      </c>
      <c r="H284" s="2" t="s">
        <v>22</v>
      </c>
      <c r="I284" s="2" t="s">
        <v>23</v>
      </c>
      <c r="J284" s="2" t="s">
        <v>24</v>
      </c>
      <c r="K284" s="2" t="s">
        <v>25</v>
      </c>
      <c r="L284" s="2" t="s">
        <v>27</v>
      </c>
      <c r="M284" s="2" t="s">
        <v>3</v>
      </c>
      <c r="N284" s="2" t="s">
        <v>4</v>
      </c>
      <c r="O284" s="3" t="s">
        <v>26</v>
      </c>
      <c r="Q284" s="41"/>
      <c r="R284" s="41" t="s">
        <v>18</v>
      </c>
      <c r="S284" s="41"/>
      <c r="T284" s="41"/>
      <c r="U284" s="45" t="s">
        <v>0</v>
      </c>
      <c r="V284" s="45" t="s">
        <v>6</v>
      </c>
      <c r="W284" s="45" t="s">
        <v>21</v>
      </c>
      <c r="X284" s="45" t="s">
        <v>2</v>
      </c>
      <c r="Y284" s="45" t="s">
        <v>22</v>
      </c>
      <c r="Z284" s="45" t="s">
        <v>23</v>
      </c>
      <c r="AA284" s="45" t="s">
        <v>24</v>
      </c>
      <c r="AB284" s="45" t="s">
        <v>25</v>
      </c>
      <c r="AC284" s="45" t="s">
        <v>7</v>
      </c>
      <c r="AD284" s="45" t="s">
        <v>8</v>
      </c>
      <c r="AE284" s="45" t="s">
        <v>9</v>
      </c>
      <c r="AF284" s="45" t="s">
        <v>26</v>
      </c>
      <c r="AG284" s="45" t="s">
        <v>10</v>
      </c>
      <c r="AH284" s="45" t="s">
        <v>11</v>
      </c>
      <c r="AI284" s="45" t="s">
        <v>12</v>
      </c>
      <c r="AJ284" s="44"/>
      <c r="AK284" s="44"/>
    </row>
    <row r="285" spans="2:39" ht="15.75" thickBot="1">
      <c r="C285" s="40">
        <f>IF(OR(F285="",H285=""),"",IF(F285=H285,1,IF(F285&lt;H285,0,IF(F285-H285&lt;10,2,IF(F285&gt;H285,3,SE)))))</f>
        <v>2</v>
      </c>
      <c r="D285" s="8" t="s">
        <v>13</v>
      </c>
      <c r="E285" s="9" t="str">
        <f>VLOOKUP(AI285,$U$285:$AH$288,2)</f>
        <v>Bafulinos SC</v>
      </c>
      <c r="F285" s="9">
        <f>VLOOKUP(AI285,$U$285:$AH$288,3)</f>
        <v>3</v>
      </c>
      <c r="G285" s="9">
        <f>VLOOKUP(AI285,$U$285:$AH$288,4)</f>
        <v>8</v>
      </c>
      <c r="H285" s="10">
        <f>VLOOKUP(AI285,$U$285:$AH$288,5)</f>
        <v>2</v>
      </c>
      <c r="I285" s="10">
        <f>VLOOKUP(AI285,$U$285:$AH$288,6)</f>
        <v>1</v>
      </c>
      <c r="J285" s="10">
        <f>VLOOKUP(AI285,$U$285:$AH$288,7)</f>
        <v>0</v>
      </c>
      <c r="K285" s="10">
        <f>VLOOKUP(AI285,$U$285:$AH$288,8)</f>
        <v>0</v>
      </c>
      <c r="L285" s="10">
        <f>VLOOKUP(AI285,$U$285:$AH$288,9)</f>
        <v>182</v>
      </c>
      <c r="M285" s="10">
        <f>VLOOKUP(AI285,$U$285:$AH$288,10)</f>
        <v>134</v>
      </c>
      <c r="N285" s="9">
        <f>VLOOKUP(AI285,$U$285:$AH$288,11)</f>
        <v>48</v>
      </c>
      <c r="O285" s="16">
        <f>VLOOKUP(AI285,$U$285:$AH$288,12)</f>
        <v>0.88888888888888884</v>
      </c>
      <c r="Q285" s="41"/>
      <c r="R285" s="41" t="s">
        <v>34</v>
      </c>
      <c r="S285" s="41"/>
      <c r="T285" s="41"/>
      <c r="U285" s="45">
        <v>1</v>
      </c>
      <c r="V285" s="44" t="str">
        <f>IF(OR('1ª fase'!K58="",'1ª fase'!M58=""),"VENCEDOR J36",IF('1ª fase'!K58&gt;'1ª fase'!M58,'1ª fase'!C58,'1ª fase'!N58))</f>
        <v>NICKA SC</v>
      </c>
      <c r="W285" s="90">
        <f>COUNT(H293,H300,H306)</f>
        <v>3</v>
      </c>
      <c r="X285" s="90">
        <f>SUM(Q293,Q300,Q306)</f>
        <v>0</v>
      </c>
      <c r="Y285" s="90">
        <f>SUM(COUNTIFS($C$290:$C$306,3,$D$290:$D$306,V285),COUNTIFS($I$290:$I$306,V285,$Q$290:$Q$306,3))</f>
        <v>0</v>
      </c>
      <c r="Z285" s="90">
        <f>SUM(COUNTIFS($C$290:$C$306,2,$D$290:$D$306,V285),COUNTIFS($I$290:$I$306,V285,$Q$290:$Q$306,2))</f>
        <v>0</v>
      </c>
      <c r="AA285" s="90">
        <f>SUM(COUNTIFS($C$290:$C$306,1,$D$290:$D$306,V285),COUNTIFS($I$290:$I$306,V285,$Q$290:$Q$306,1))</f>
        <v>0</v>
      </c>
      <c r="AB285" s="90">
        <f>SUM(COUNTIFS($C$290:$C$306,0,$D$290:$D$306,V285),COUNTIFS($I$290:$I$306,V285,$Q$290:$Q$306,0))</f>
        <v>3</v>
      </c>
      <c r="AC285" s="120">
        <f>SUM(H293,H300,H306)</f>
        <v>156</v>
      </c>
      <c r="AD285" s="120">
        <f>SUM(F293,F300,F306)</f>
        <v>191</v>
      </c>
      <c r="AE285" s="120">
        <f>AC285-AD285</f>
        <v>-35</v>
      </c>
      <c r="AF285" s="120">
        <f>IF(OR($F$37="",$H$37=""),0,(X285/(W285*3)))</f>
        <v>0</v>
      </c>
      <c r="AG285" s="90">
        <f>(X285*10^10)+((AC285+5000)*10^6)+AE285*100+U285</f>
        <v>5155996501</v>
      </c>
      <c r="AH285" s="90">
        <f>LARGE($AG$285:$AG$288,U285)</f>
        <v>85182004804</v>
      </c>
      <c r="AI285" s="90">
        <f>MATCH(AH285,$AG$285:$AG$288,0)</f>
        <v>4</v>
      </c>
      <c r="AJ285" s="44"/>
      <c r="AK285" s="44"/>
    </row>
    <row r="286" spans="2:39" ht="15.75" thickBot="1">
      <c r="C286" s="40">
        <f>IF(OR(F286="",H286=""),"",IF(F286=H286,1,IF(F286&lt;H286,0,IF(F286-H286&lt;10,2,IF(F286&gt;H286,3,SE)))))</f>
        <v>2</v>
      </c>
      <c r="D286" s="11" t="s">
        <v>15</v>
      </c>
      <c r="E286" s="91" t="str">
        <f t="shared" ref="E286:E288" si="137">VLOOKUP(AI286,$U$285:$AH$288,2)</f>
        <v>Psicoacústica FC</v>
      </c>
      <c r="F286" s="91">
        <f t="shared" ref="F286:F288" si="138">VLOOKUP(AI286,$U$285:$AH$288,3)</f>
        <v>3</v>
      </c>
      <c r="G286" s="91">
        <f t="shared" ref="G286:G288" si="139">VLOOKUP(AI286,$U$285:$AH$288,4)</f>
        <v>5</v>
      </c>
      <c r="H286" s="92">
        <f t="shared" ref="H286:H288" si="140">VLOOKUP(AI286,$U$285:$AH$288,5)</f>
        <v>1</v>
      </c>
      <c r="I286" s="92">
        <f t="shared" ref="I286:I288" si="141">VLOOKUP(AI286,$U$285:$AH$288,6)</f>
        <v>1</v>
      </c>
      <c r="J286" s="92">
        <f t="shared" ref="J286:J288" si="142">VLOOKUP(AI286,$U$285:$AH$288,7)</f>
        <v>0</v>
      </c>
      <c r="K286" s="92">
        <f t="shared" ref="K286:K288" si="143">VLOOKUP(AI286,$U$285:$AH$288,8)</f>
        <v>1</v>
      </c>
      <c r="L286" s="92">
        <f t="shared" ref="L286:L288" si="144">VLOOKUP(AI286,$U$285:$AH$288,9)</f>
        <v>148</v>
      </c>
      <c r="M286" s="92">
        <f t="shared" ref="M286:M288" si="145">VLOOKUP(AI286,$U$285:$AH$288,10)</f>
        <v>144</v>
      </c>
      <c r="N286" s="91">
        <f t="shared" ref="N286:N288" si="146">VLOOKUP(AI286,$U$285:$AH$288,11)</f>
        <v>4</v>
      </c>
      <c r="O286" s="93">
        <f t="shared" ref="O286:O288" si="147">VLOOKUP(AI286,$U$285:$AH$288,12)</f>
        <v>0.55555555555555558</v>
      </c>
      <c r="Q286" s="41"/>
      <c r="R286" s="46"/>
      <c r="S286" s="41" t="s">
        <v>35</v>
      </c>
      <c r="T286" s="41"/>
      <c r="U286" s="45">
        <v>2</v>
      </c>
      <c r="V286" s="44" t="str">
        <f>IF(OR('1ª fase'!K57="",'1ª fase'!M57=""),"VENCEDOR J35",IF('1ª fase'!K57&gt;'1ª fase'!M57,'1ª fase'!C57,'1ª fase'!N57))</f>
        <v>Psicoacústica FC</v>
      </c>
      <c r="W286" s="90">
        <f>COUNT(H294,H299,F306)</f>
        <v>3</v>
      </c>
      <c r="X286" s="90">
        <f>SUM(Q294,Q299,C306)</f>
        <v>5</v>
      </c>
      <c r="Y286" s="90">
        <f t="shared" ref="Y286:Y288" si="148">SUM(COUNTIFS($C$290:$C$306,3,$D$290:$D$306,V286),COUNTIFS($I$290:$I$306,V286,$Q$290:$Q$306,3))</f>
        <v>1</v>
      </c>
      <c r="Z286" s="90">
        <f t="shared" ref="Z286:Z288" si="149">SUM(COUNTIFS($C$290:$C$306,2,$D$290:$D$306,V286),COUNTIFS($I$290:$I$306,V286,$Q$290:$Q$306,2))</f>
        <v>1</v>
      </c>
      <c r="AA286" s="90">
        <f t="shared" ref="AA286:AA288" si="150">SUM(COUNTIFS($C$290:$C$306,1,$D$290:$D$306,V286),COUNTIFS($I$290:$I$306,V286,$Q$290:$Q$306,1))</f>
        <v>0</v>
      </c>
      <c r="AB286" s="90">
        <f t="shared" ref="AB286:AB288" si="151">SUM(COUNTIFS($C$290:$C$306,0,$D$290:$D$306,V286),COUNTIFS($I$290:$I$306,V286,$Q$290:$Q$306,0))</f>
        <v>1</v>
      </c>
      <c r="AC286" s="120">
        <f>SUM(H294,H299,F306)</f>
        <v>148</v>
      </c>
      <c r="AD286" s="120">
        <f>SUM(H306,F299,F294)</f>
        <v>144</v>
      </c>
      <c r="AE286" s="120">
        <f t="shared" ref="AE286:AE288" si="152">AC286-AD286</f>
        <v>4</v>
      </c>
      <c r="AF286" s="120">
        <f t="shared" ref="AF286:AF288" si="153">IF(OR($F$37="",$H$37=""),0,(X286/(W286*3)))</f>
        <v>0.55555555555555558</v>
      </c>
      <c r="AG286" s="90">
        <f t="shared" ref="AG286:AG288" si="154">(X286*10^10)+((AC286+5000)*10^6)+AE286*100+U286</f>
        <v>55148000402</v>
      </c>
      <c r="AH286" s="90">
        <f t="shared" ref="AH286:AH288" si="155">LARGE($AG$285:$AG$288,U286)</f>
        <v>55148000402</v>
      </c>
      <c r="AI286" s="90">
        <f t="shared" ref="AI286:AI288" si="156">MATCH(AH286,$AG$285:$AG$288,0)</f>
        <v>2</v>
      </c>
      <c r="AJ286" s="44"/>
      <c r="AK286" s="44"/>
    </row>
    <row r="287" spans="2:39" ht="15.75" thickBot="1">
      <c r="C287" s="40">
        <f>IF(OR(F287="",H287=""),"",IF(F287=H287,1,IF(F287&lt;H287,0,IF(F287-H287&lt;10,2,IF(F287&gt;H287,3,SE)))))</f>
        <v>2</v>
      </c>
      <c r="D287" s="30" t="s">
        <v>16</v>
      </c>
      <c r="E287" s="31" t="str">
        <f t="shared" si="137"/>
        <v>huliganns SC</v>
      </c>
      <c r="F287" s="31">
        <f t="shared" si="138"/>
        <v>3</v>
      </c>
      <c r="G287" s="31">
        <f t="shared" si="139"/>
        <v>2</v>
      </c>
      <c r="H287" s="32">
        <f t="shared" si="140"/>
        <v>0</v>
      </c>
      <c r="I287" s="32">
        <f t="shared" si="141"/>
        <v>1</v>
      </c>
      <c r="J287" s="32">
        <f t="shared" si="142"/>
        <v>0</v>
      </c>
      <c r="K287" s="32">
        <f t="shared" si="143"/>
        <v>2</v>
      </c>
      <c r="L287" s="32">
        <f t="shared" si="144"/>
        <v>154</v>
      </c>
      <c r="M287" s="32">
        <f t="shared" si="145"/>
        <v>171</v>
      </c>
      <c r="N287" s="31">
        <f t="shared" si="146"/>
        <v>-17</v>
      </c>
      <c r="O287" s="33">
        <f t="shared" si="147"/>
        <v>0.22222222222222221</v>
      </c>
      <c r="Q287" s="41"/>
      <c r="R287" s="47"/>
      <c r="S287" s="19" t="s">
        <v>38</v>
      </c>
      <c r="T287" s="41"/>
      <c r="U287" s="45">
        <v>3</v>
      </c>
      <c r="V287" s="44" t="str">
        <f>IF(OR('1ª fase'!K56="",'1ª fase'!M56=""),"VENCEDOR J34",IF('1ª fase'!K56&gt;'1ª fase'!M56,'1ª fase'!C56,'1ª fase'!N56))</f>
        <v>huliganns SC</v>
      </c>
      <c r="W287" s="90">
        <f>COUNT(H305,F300,F294)</f>
        <v>3</v>
      </c>
      <c r="X287" s="90">
        <f>SUM(C294,C300,Q305)</f>
        <v>2</v>
      </c>
      <c r="Y287" s="90">
        <f t="shared" si="148"/>
        <v>0</v>
      </c>
      <c r="Z287" s="90">
        <f t="shared" si="149"/>
        <v>1</v>
      </c>
      <c r="AA287" s="90">
        <f t="shared" si="150"/>
        <v>0</v>
      </c>
      <c r="AB287" s="90">
        <f t="shared" si="151"/>
        <v>2</v>
      </c>
      <c r="AC287" s="120">
        <f>SUM(,H305,F300,F294)</f>
        <v>154</v>
      </c>
      <c r="AD287" s="120">
        <f>SUM(H294,H300,F305)</f>
        <v>171</v>
      </c>
      <c r="AE287" s="120">
        <f t="shared" si="152"/>
        <v>-17</v>
      </c>
      <c r="AF287" s="120">
        <f t="shared" si="153"/>
        <v>0.22222222222222221</v>
      </c>
      <c r="AG287" s="90">
        <f t="shared" si="154"/>
        <v>25153998303</v>
      </c>
      <c r="AH287" s="90">
        <f t="shared" si="155"/>
        <v>25153998303</v>
      </c>
      <c r="AI287" s="90">
        <f t="shared" si="156"/>
        <v>3</v>
      </c>
      <c r="AJ287" s="44"/>
      <c r="AK287" s="44"/>
    </row>
    <row r="288" spans="2:39" ht="15.75" thickBot="1">
      <c r="C288" s="40">
        <f>IF(OR(F288="",H288=""),"",IF(F288=H288,1,IF(F288&lt;H288,0,IF(F288-H288&lt;10,2,IF(F288&gt;H288,3,SE)))))</f>
        <v>2</v>
      </c>
      <c r="D288" s="12" t="s">
        <v>17</v>
      </c>
      <c r="E288" s="6" t="str">
        <f t="shared" si="137"/>
        <v>NICKA SC</v>
      </c>
      <c r="F288" s="6">
        <f t="shared" si="138"/>
        <v>3</v>
      </c>
      <c r="G288" s="6">
        <f t="shared" si="139"/>
        <v>0</v>
      </c>
      <c r="H288" s="7">
        <f t="shared" si="140"/>
        <v>0</v>
      </c>
      <c r="I288" s="7">
        <f t="shared" si="141"/>
        <v>0</v>
      </c>
      <c r="J288" s="7">
        <f t="shared" si="142"/>
        <v>0</v>
      </c>
      <c r="K288" s="7">
        <f t="shared" si="143"/>
        <v>3</v>
      </c>
      <c r="L288" s="7">
        <f t="shared" si="144"/>
        <v>156</v>
      </c>
      <c r="M288" s="7">
        <f t="shared" si="145"/>
        <v>191</v>
      </c>
      <c r="N288" s="6">
        <f t="shared" si="146"/>
        <v>-35</v>
      </c>
      <c r="O288" s="15">
        <f t="shared" si="147"/>
        <v>0</v>
      </c>
      <c r="Q288" s="41"/>
      <c r="R288" s="48"/>
      <c r="S288" s="41" t="s">
        <v>37</v>
      </c>
      <c r="T288" s="41"/>
      <c r="U288" s="45">
        <v>4</v>
      </c>
      <c r="V288" s="44" t="str">
        <f>IF(OR('1ª fase'!K55="",'1ª fase'!M55=""),"VENCEDOR J33",IF('1ª fase'!K55&gt;'1ª fase'!M55,'1ª fase'!C55,'1ª fase'!N55))</f>
        <v>Bafulinos SC</v>
      </c>
      <c r="W288" s="90">
        <f>COUNT(F293,F299,F305)</f>
        <v>3</v>
      </c>
      <c r="X288" s="90">
        <f>SUM(C293,C299,C305)</f>
        <v>8</v>
      </c>
      <c r="Y288" s="90">
        <f t="shared" si="148"/>
        <v>2</v>
      </c>
      <c r="Z288" s="90">
        <f t="shared" si="149"/>
        <v>1</v>
      </c>
      <c r="AA288" s="90">
        <f t="shared" si="150"/>
        <v>0</v>
      </c>
      <c r="AB288" s="90">
        <f t="shared" si="151"/>
        <v>0</v>
      </c>
      <c r="AC288" s="120">
        <f>SUM(F293,F299,F305)</f>
        <v>182</v>
      </c>
      <c r="AD288" s="120">
        <f>SUM(H305,H299,H293)</f>
        <v>134</v>
      </c>
      <c r="AE288" s="120">
        <f t="shared" si="152"/>
        <v>48</v>
      </c>
      <c r="AF288" s="120">
        <f t="shared" si="153"/>
        <v>0.88888888888888884</v>
      </c>
      <c r="AG288" s="90">
        <f t="shared" si="154"/>
        <v>85182004804</v>
      </c>
      <c r="AH288" s="90">
        <f t="shared" si="155"/>
        <v>5155996501</v>
      </c>
      <c r="AI288" s="90">
        <f t="shared" si="156"/>
        <v>1</v>
      </c>
      <c r="AJ288" s="44"/>
      <c r="AK288" s="44"/>
    </row>
    <row r="289" spans="3:37" ht="15.75" thickBot="1">
      <c r="C289" s="40" t="str">
        <f>IF(OR(F289="",H289=""),"",IF(F289=H289,1,IF(F289&lt;H289,0,IF(F289-H289&lt;10,2,IF(F289&gt;H289,3,SE)))))</f>
        <v/>
      </c>
      <c r="Q289" s="41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</row>
    <row r="290" spans="3:37">
      <c r="C290" s="40" t="str">
        <f>IF(OR(F290="",H290=""),"",IF(F290=H290,1,IF(F290&lt;H290,0,IF(F290-H290&lt;10,2,IF(F290&gt;H290,3,SE)))))</f>
        <v/>
      </c>
      <c r="D290" s="198" t="s">
        <v>160</v>
      </c>
      <c r="E290" s="199"/>
      <c r="F290" s="199"/>
      <c r="G290" s="199"/>
      <c r="H290" s="199"/>
      <c r="I290" s="199"/>
      <c r="J290" s="199"/>
      <c r="K290" s="199"/>
      <c r="L290" s="199"/>
      <c r="M290" s="199"/>
      <c r="N290" s="199"/>
      <c r="O290" s="199"/>
      <c r="P290" s="200"/>
      <c r="Q290" s="41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</row>
    <row r="291" spans="3:37" ht="15.75" thickBot="1">
      <c r="C291" s="40" t="str">
        <f>IF(OR(F291="",H291=""),"",IF(F291=H291,1,IF(F291&lt;H291,0,IF(F291-H291&lt;10,2,IF(F291&gt;H291,3,SE)))))</f>
        <v/>
      </c>
      <c r="D291" s="204"/>
      <c r="E291" s="205"/>
      <c r="F291" s="205"/>
      <c r="G291" s="205"/>
      <c r="H291" s="205"/>
      <c r="I291" s="205"/>
      <c r="J291" s="205"/>
      <c r="K291" s="205"/>
      <c r="L291" s="205"/>
      <c r="M291" s="205"/>
      <c r="N291" s="205"/>
      <c r="O291" s="205"/>
      <c r="P291" s="206"/>
      <c r="Q291" s="41"/>
      <c r="T291" s="41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</row>
    <row r="292" spans="3:37">
      <c r="C292" s="40" t="str">
        <f>IF(OR(F292="",H292=""),"",IF(F292=H292,1,IF(F292&lt;H292,0,IF(F292-H292&lt;10,2,IF(F292&gt;H292,3,SE)))))</f>
        <v/>
      </c>
      <c r="Q292" s="41"/>
      <c r="T292" s="41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</row>
    <row r="293" spans="3:37">
      <c r="C293" s="40">
        <f>IF(OR(F293="",H293=""),"",IF(F293=H293,1,IF(F293&lt;H293,0,IF(F293-H293&lt;10,2,IF(F293&gt;H293,3,SE)))))</f>
        <v>3</v>
      </c>
      <c r="D293" s="197" t="str">
        <f>V288</f>
        <v>Bafulinos SC</v>
      </c>
      <c r="E293" s="197"/>
      <c r="F293" s="141">
        <v>67</v>
      </c>
      <c r="G293" s="17" t="s">
        <v>19</v>
      </c>
      <c r="H293" s="140">
        <v>44</v>
      </c>
      <c r="I293" s="197" t="str">
        <f>V285</f>
        <v>NICKA SC</v>
      </c>
      <c r="J293" s="197"/>
      <c r="K293" s="197"/>
      <c r="L293" s="197"/>
      <c r="M293" s="197"/>
      <c r="N293" s="197"/>
      <c r="O293" s="197"/>
      <c r="P293" s="197"/>
      <c r="Q293" s="40">
        <f>IF(OR(H293="",F293=""),"",IF(H293=F293,1,IF(H293&lt;F293,0,IF(H293-F293&lt;10,2,IF(H293&gt;F293,3,SE)))))</f>
        <v>0</v>
      </c>
      <c r="R293" s="41"/>
      <c r="S293" s="41"/>
      <c r="T293" s="41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</row>
    <row r="294" spans="3:37">
      <c r="C294" s="40">
        <f>IF(OR(F294="",H294=""),"",IF(F294=H294,1,IF(F294&lt;H294,0,IF(F294-H294&lt;10,2,IF(F294&gt;H294,3,SE)))))</f>
        <v>0</v>
      </c>
      <c r="D294" s="197" t="str">
        <f>V287</f>
        <v>huliganns SC</v>
      </c>
      <c r="E294" s="197"/>
      <c r="F294" s="140">
        <v>35</v>
      </c>
      <c r="G294" s="17" t="s">
        <v>19</v>
      </c>
      <c r="H294" s="141">
        <v>53</v>
      </c>
      <c r="I294" s="197" t="str">
        <f>V286</f>
        <v>Psicoacústica FC</v>
      </c>
      <c r="J294" s="197"/>
      <c r="K294" s="197"/>
      <c r="L294" s="197"/>
      <c r="M294" s="197"/>
      <c r="N294" s="197"/>
      <c r="O294" s="197"/>
      <c r="P294" s="197"/>
      <c r="Q294" s="40">
        <f>IF(OR(H294="",F294=""),"",IF(H294=F294,1,IF(H294&lt;F294,0,IF(H294-F294&lt;10,2,IF(H294&gt;F294,3,SE)))))</f>
        <v>3</v>
      </c>
      <c r="U294" s="44" t="s">
        <v>20</v>
      </c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</row>
    <row r="295" spans="3:37" ht="15.75" thickBot="1">
      <c r="C295" s="40" t="str">
        <f>IF(OR(F295="",H295=""),"",IF(F295=H295,1,IF(F295&lt;H295,0,IF(F295-H295&lt;10,2,IF(F295&gt;H295,3,SE)))))</f>
        <v/>
      </c>
      <c r="Q295" s="40" t="str">
        <f>IF(OR(H295="",F295=""),"",IF(H295=F295,1,IF(H295&lt;F295,0,IF(H295-F295&lt;10,2,IF(H295&gt;F295,3,SE)))))</f>
        <v/>
      </c>
      <c r="R295" s="41"/>
      <c r="S295" s="41"/>
      <c r="T295" s="41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</row>
    <row r="296" spans="3:37">
      <c r="C296" s="40" t="str">
        <f>IF(OR(F296="",H296=""),"",IF(F296=H296,1,IF(F296&lt;H296,0,IF(F296-H296&lt;10,2,IF(F296&gt;H296,3,SE)))))</f>
        <v/>
      </c>
      <c r="D296" s="207" t="s">
        <v>161</v>
      </c>
      <c r="E296" s="208"/>
      <c r="F296" s="208"/>
      <c r="G296" s="208"/>
      <c r="H296" s="208"/>
      <c r="I296" s="208"/>
      <c r="J296" s="208"/>
      <c r="K296" s="208"/>
      <c r="L296" s="208"/>
      <c r="M296" s="208"/>
      <c r="N296" s="208"/>
      <c r="O296" s="208"/>
      <c r="P296" s="209"/>
      <c r="Q296" s="40" t="str">
        <f>IF(OR(H296="",F296=""),"",IF(H296=F296,1,IF(H296&lt;F296,0,IF(H296-F296&lt;10,2,IF(H296&gt;F296,3,SE)))))</f>
        <v/>
      </c>
      <c r="R296" s="41"/>
      <c r="S296" s="41"/>
      <c r="T296" s="41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</row>
    <row r="297" spans="3:37" ht="15.75" thickBot="1">
      <c r="C297" s="40" t="str">
        <f>IF(OR(F297="",H297=""),"",IF(F297=H297,1,IF(F297&lt;H297,0,IF(F297-H297&lt;10,2,IF(F297&gt;H297,3,SE)))))</f>
        <v/>
      </c>
      <c r="D297" s="210"/>
      <c r="E297" s="211"/>
      <c r="F297" s="211"/>
      <c r="G297" s="211"/>
      <c r="H297" s="211"/>
      <c r="I297" s="211"/>
      <c r="J297" s="211"/>
      <c r="K297" s="211"/>
      <c r="L297" s="211"/>
      <c r="M297" s="211"/>
      <c r="N297" s="211"/>
      <c r="O297" s="211"/>
      <c r="P297" s="212"/>
      <c r="Q297" s="40" t="str">
        <f>IF(OR(H297="",F297=""),"",IF(H297=F297,1,IF(H297&lt;F297,0,IF(H297-F297&lt;10,2,IF(H297&gt;F297,3,SE)))))</f>
        <v/>
      </c>
      <c r="R297" s="41"/>
      <c r="S297" s="41"/>
      <c r="T297" s="41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</row>
    <row r="298" spans="3:37">
      <c r="C298" s="40" t="str">
        <f>IF(OR(F298="",H298=""),"",IF(F298=H298,1,IF(F298&lt;H298,0,IF(F298-H298&lt;10,2,IF(F298&gt;H298,3,SE)))))</f>
        <v/>
      </c>
      <c r="Q298" s="40" t="str">
        <f>IF(OR(H298="",F298=""),"",IF(H298=F298,1,IF(H298&lt;F298,0,IF(H298-F298&lt;10,2,IF(H298&gt;F298,3,SE)))))</f>
        <v/>
      </c>
      <c r="R298" s="41"/>
      <c r="S298" s="41"/>
      <c r="T298" s="41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</row>
    <row r="299" spans="3:37">
      <c r="C299" s="40">
        <f>IF(OR(F299="",H299=""),"",IF(F299=H299,1,IF(F299&lt;H299,0,IF(F299-H299&lt;10,2,IF(F299&gt;H299,3,SE)))))</f>
        <v>3</v>
      </c>
      <c r="D299" s="197" t="str">
        <f>V288</f>
        <v>Bafulinos SC</v>
      </c>
      <c r="E299" s="197"/>
      <c r="F299" s="141">
        <v>68</v>
      </c>
      <c r="G299" s="18" t="s">
        <v>19</v>
      </c>
      <c r="H299" s="140">
        <v>45</v>
      </c>
      <c r="I299" s="197" t="str">
        <f>V286</f>
        <v>Psicoacústica FC</v>
      </c>
      <c r="J299" s="197"/>
      <c r="K299" s="197"/>
      <c r="L299" s="197"/>
      <c r="M299" s="197"/>
      <c r="N299" s="197"/>
      <c r="O299" s="197"/>
      <c r="P299" s="197"/>
      <c r="Q299" s="40">
        <f>IF(OR(H299="",F299=""),"",IF(H299=F299,1,IF(H299&lt;F299,0,IF(H299-F299&lt;10,2,IF(H299&gt;F299,3,SE)))))</f>
        <v>0</v>
      </c>
      <c r="R299" s="41"/>
      <c r="S299" s="41"/>
      <c r="T299" s="41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</row>
    <row r="300" spans="3:37">
      <c r="C300" s="40">
        <f>IF(OR(F300="",H300=""),"",IF(F300=H300,1,IF(F300&lt;H300,0,IF(F300-H300&lt;10,2,IF(F300&gt;H300,3,SE)))))</f>
        <v>2</v>
      </c>
      <c r="D300" s="197" t="str">
        <f>V287</f>
        <v>huliganns SC</v>
      </c>
      <c r="E300" s="197"/>
      <c r="F300" s="141">
        <v>74</v>
      </c>
      <c r="G300" s="18" t="s">
        <v>19</v>
      </c>
      <c r="H300" s="140">
        <v>71</v>
      </c>
      <c r="I300" s="197" t="str">
        <f>V285</f>
        <v>NICKA SC</v>
      </c>
      <c r="J300" s="197"/>
      <c r="K300" s="197"/>
      <c r="L300" s="197"/>
      <c r="M300" s="197"/>
      <c r="N300" s="197"/>
      <c r="O300" s="197"/>
      <c r="P300" s="197"/>
      <c r="Q300" s="40">
        <f>IF(OR(H300="",F300=""),"",IF(H300=F300,1,IF(H300&lt;F300,0,IF(H300-F300&lt;10,2,IF(H300&gt;F300,3,SE)))))</f>
        <v>0</v>
      </c>
      <c r="R300" s="41"/>
      <c r="S300" s="41"/>
      <c r="T300" s="41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</row>
    <row r="301" spans="3:37" ht="15.75" thickBot="1">
      <c r="C301" s="40" t="str">
        <f>IF(OR(F301="",H301=""),"",IF(F301=H301,1,IF(F301&lt;H301,0,IF(F301-H301&lt;10,2,IF(F301&gt;H301,3,SE)))))</f>
        <v/>
      </c>
      <c r="F301" s="20"/>
      <c r="Q301" s="40" t="str">
        <f>IF(OR(H301="",F301=""),"",IF(H301=F301,1,IF(H301&lt;F301,0,IF(H301-F301&lt;10,2,IF(H301&gt;F301,3,SE)))))</f>
        <v/>
      </c>
      <c r="R301" s="41"/>
      <c r="S301" s="41"/>
      <c r="T301" s="41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</row>
    <row r="302" spans="3:37">
      <c r="C302" s="40" t="str">
        <f>IF(OR(F302="",H302=""),"",IF(F302=H302,1,IF(F302&lt;H302,0,IF(F302-H302&lt;10,2,IF(F302&gt;H302,3,SE)))))</f>
        <v/>
      </c>
      <c r="D302" s="207" t="s">
        <v>162</v>
      </c>
      <c r="E302" s="208"/>
      <c r="F302" s="208"/>
      <c r="G302" s="208"/>
      <c r="H302" s="208"/>
      <c r="I302" s="208"/>
      <c r="J302" s="208"/>
      <c r="K302" s="208"/>
      <c r="L302" s="208"/>
      <c r="M302" s="208"/>
      <c r="N302" s="208"/>
      <c r="O302" s="208"/>
      <c r="P302" s="209"/>
      <c r="Q302" s="40" t="str">
        <f>IF(OR(H302="",F302=""),"",IF(H302=F302,1,IF(H302&lt;F302,0,IF(H302-F302&lt;10,2,IF(H302&gt;F302,3,SE)))))</f>
        <v/>
      </c>
      <c r="R302" s="41"/>
      <c r="S302" s="41"/>
      <c r="T302" s="41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</row>
    <row r="303" spans="3:37" ht="15.75" thickBot="1">
      <c r="C303" s="40" t="str">
        <f>IF(OR(F303="",H303=""),"",IF(F303=H303,1,IF(F303&lt;H303,0,IF(F303-H303&lt;10,2,IF(F303&gt;H303,3,SE)))))</f>
        <v/>
      </c>
      <c r="D303" s="210"/>
      <c r="E303" s="211"/>
      <c r="F303" s="211"/>
      <c r="G303" s="211"/>
      <c r="H303" s="211"/>
      <c r="I303" s="211"/>
      <c r="J303" s="211"/>
      <c r="K303" s="211"/>
      <c r="L303" s="211"/>
      <c r="M303" s="211"/>
      <c r="N303" s="211"/>
      <c r="O303" s="211"/>
      <c r="P303" s="212"/>
      <c r="Q303" s="40" t="str">
        <f>IF(OR(H303="",F303=""),"",IF(H303=F303,1,IF(H303&lt;F303,0,IF(H303-F303&lt;10,2,IF(H303&gt;F303,3,SE)))))</f>
        <v/>
      </c>
      <c r="R303" s="41"/>
      <c r="S303" s="41"/>
      <c r="T303" s="41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</row>
    <row r="304" spans="3:37">
      <c r="C304" s="40" t="str">
        <f>IF(OR(F304="",H304=""),"",IF(F304=H304,1,IF(F304&lt;H304,0,IF(F304-H304&lt;10,2,IF(F304&gt;H304,3,SE)))))</f>
        <v/>
      </c>
      <c r="Q304" s="40" t="str">
        <f>IF(OR(H304="",F304=""),"",IF(H304=F304,1,IF(H304&lt;F304,0,IF(H304-F304&lt;10,2,IF(H304&gt;F304,3,SE)))))</f>
        <v/>
      </c>
      <c r="R304" s="41"/>
      <c r="S304" s="41"/>
      <c r="T304" s="41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</row>
    <row r="305" spans="3:37">
      <c r="C305" s="40">
        <f>IF(OR(F305="",H305=""),"",IF(F305=H305,1,IF(F305&lt;H305,0,IF(F305-H305&lt;10,2,IF(F305&gt;H305,3,SE)))))</f>
        <v>2</v>
      </c>
      <c r="D305" s="197" t="str">
        <f>V288</f>
        <v>Bafulinos SC</v>
      </c>
      <c r="E305" s="197"/>
      <c r="F305" s="141">
        <v>47</v>
      </c>
      <c r="G305" s="18" t="s">
        <v>19</v>
      </c>
      <c r="H305" s="140">
        <v>45</v>
      </c>
      <c r="I305" s="197" t="str">
        <f>V287</f>
        <v>huliganns SC</v>
      </c>
      <c r="J305" s="197"/>
      <c r="K305" s="197"/>
      <c r="L305" s="197"/>
      <c r="M305" s="197"/>
      <c r="N305" s="197"/>
      <c r="O305" s="197"/>
      <c r="P305" s="197"/>
      <c r="Q305" s="40">
        <f>IF(OR(H305="",F305=""),"",IF(H305=F305,1,IF(H305&lt;F305,0,IF(H305-F305&lt;10,2,IF(H305&gt;F305,3,SE)))))</f>
        <v>0</v>
      </c>
      <c r="R305" s="41"/>
      <c r="S305" s="41"/>
      <c r="T305" s="41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</row>
    <row r="306" spans="3:37">
      <c r="C306" s="40">
        <f>IF(OR(F306="",H306=""),"",IF(F306=H306,1,IF(F306&lt;H306,0,IF(F306-H306&lt;10,2,IF(F306&gt;H306,3,SE)))))</f>
        <v>2</v>
      </c>
      <c r="D306" s="197" t="str">
        <f>V286</f>
        <v>Psicoacústica FC</v>
      </c>
      <c r="E306" s="197"/>
      <c r="F306" s="141">
        <v>50</v>
      </c>
      <c r="G306" s="18" t="s">
        <v>19</v>
      </c>
      <c r="H306" s="140">
        <v>41</v>
      </c>
      <c r="I306" s="197" t="str">
        <f>V285</f>
        <v>NICKA SC</v>
      </c>
      <c r="J306" s="197"/>
      <c r="K306" s="197"/>
      <c r="L306" s="197"/>
      <c r="M306" s="197"/>
      <c r="N306" s="197"/>
      <c r="O306" s="197"/>
      <c r="P306" s="197"/>
      <c r="Q306" s="40">
        <f>IF(OR(H306="",F306=""),"",IF(H306=F306,1,IF(H306&lt;F306,0,IF(H306-F306&lt;10,2,IF(H306&gt;F306,3,SE)))))</f>
        <v>0</v>
      </c>
      <c r="R306" s="41"/>
      <c r="S306" s="41"/>
      <c r="T306" s="41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</row>
    <row r="307" spans="3:37">
      <c r="C307" s="40" t="str">
        <f>IF(OR(F307="",H307=""),"",IF(F307=H307,1,IF(F307&lt;H307,0,IF(F307-H307&lt;10,2,IF(F307&gt;H307,3,SE)))))</f>
        <v/>
      </c>
      <c r="Q307" s="40" t="str">
        <f>IF(OR(H307="",F307=""),"",IF(H307=F307,1,IF(H307&lt;F307,0,IF(H307-F307&lt;10,2,IF(H307&gt;F307,3,SE)))))</f>
        <v/>
      </c>
      <c r="R307" s="41"/>
      <c r="S307" s="41"/>
      <c r="T307" s="41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</row>
    <row r="308" spans="3:37">
      <c r="C308" s="40" t="str">
        <f>IF(OR(F308="",H308=""),"",IF(F308=H308,1,IF(F308&lt;H308,0,IF(F308-H308&lt;10,2,IF(F308&gt;H308,3,SE)))))</f>
        <v/>
      </c>
      <c r="D308" s="21"/>
      <c r="E308" s="21"/>
      <c r="F308" s="22"/>
      <c r="G308" s="23"/>
      <c r="H308" s="22"/>
      <c r="I308" s="21"/>
      <c r="J308" s="21"/>
      <c r="K308" s="21"/>
      <c r="L308" s="21"/>
      <c r="M308" s="21"/>
      <c r="N308" s="21"/>
      <c r="O308" s="21"/>
      <c r="P308" s="21"/>
      <c r="Q308" s="40"/>
      <c r="R308" s="41" t="s">
        <v>5</v>
      </c>
      <c r="S308" s="43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</row>
    <row r="309" spans="3:37">
      <c r="C309" s="40" t="str">
        <f>IF(OR(F309="",H309=""),"",IF(F309=H309,1,IF(F309&lt;H309,0,IF(F309-H309&lt;10,2,IF(F309&gt;H309,3,SE)))))</f>
        <v/>
      </c>
      <c r="D309" s="21"/>
      <c r="E309" s="21"/>
      <c r="F309" s="22"/>
      <c r="G309" s="23"/>
      <c r="H309" s="22"/>
      <c r="I309" s="21"/>
      <c r="J309" s="21"/>
      <c r="K309" s="21"/>
      <c r="L309" s="21"/>
      <c r="M309" s="21"/>
      <c r="N309" s="21"/>
      <c r="O309" s="21"/>
      <c r="P309" s="21"/>
      <c r="Q309" s="40"/>
      <c r="R309" s="41" t="s">
        <v>14</v>
      </c>
      <c r="S309" s="43"/>
      <c r="T309" s="41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</row>
    <row r="310" spans="3:37">
      <c r="C310" s="40" t="str">
        <f>IF(OR(F310="",H310=""),"",IF(F310=H310,1,IF(F310&lt;H310,0,IF(F310-H310&lt;10,2,IF(F310&gt;H310,3,SE)))))</f>
        <v/>
      </c>
      <c r="D310" s="21"/>
      <c r="E310" s="21"/>
      <c r="F310" s="22"/>
      <c r="G310" s="23"/>
      <c r="H310" s="22"/>
      <c r="I310" s="21"/>
      <c r="J310" s="21"/>
      <c r="K310" s="21"/>
      <c r="L310" s="21"/>
      <c r="M310" s="21"/>
      <c r="N310" s="21"/>
      <c r="O310" s="21"/>
      <c r="P310" s="21"/>
      <c r="Q310" s="40"/>
      <c r="R310" s="41" t="s">
        <v>28</v>
      </c>
      <c r="T310" s="41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</row>
    <row r="311" spans="3:37">
      <c r="C311" s="40" t="str">
        <f>IF(OR(F311="",H311=""),"",IF(F311=H311,1,IF(F311&lt;H311,0,IF(F311-H311&lt;10,2,IF(F311&gt;H311,3,SE)))))</f>
        <v/>
      </c>
      <c r="D311" s="21"/>
      <c r="E311" s="21"/>
      <c r="F311" s="22"/>
      <c r="G311" s="23"/>
      <c r="H311" s="22"/>
      <c r="I311" s="21"/>
      <c r="J311" s="21"/>
      <c r="K311" s="21"/>
      <c r="L311" s="21"/>
      <c r="M311" s="21"/>
      <c r="N311" s="21"/>
      <c r="O311" s="21"/>
      <c r="P311" s="21"/>
      <c r="Q311" s="40"/>
      <c r="R311" s="41" t="s">
        <v>29</v>
      </c>
      <c r="S311" s="41"/>
      <c r="T311" s="41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</row>
    <row r="312" spans="3:37">
      <c r="C312" s="40" t="str">
        <f>IF(OR(F312="",H312=""),"",IF(F312=H312,1,IF(F312&lt;H312,0,IF(F312-H312&lt;10,2,IF(F312&gt;H312,3,SE)))))</f>
        <v/>
      </c>
      <c r="D312" s="21"/>
      <c r="E312" s="21"/>
      <c r="F312" s="22"/>
      <c r="G312" s="23"/>
      <c r="H312" s="22"/>
      <c r="I312" s="21"/>
      <c r="J312" s="21"/>
      <c r="K312" s="21"/>
      <c r="L312" s="21"/>
      <c r="M312" s="21"/>
      <c r="N312" s="21"/>
      <c r="O312" s="21"/>
      <c r="P312" s="21"/>
      <c r="Q312" s="40"/>
      <c r="R312" s="41" t="s">
        <v>30</v>
      </c>
      <c r="S312" s="41"/>
      <c r="T312" s="41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</row>
    <row r="313" spans="3:37" ht="15.75" thickBot="1">
      <c r="C313" s="40" t="str">
        <f>IF(OR(F313="",H313=""),"",IF(F313=H313,1,IF(F313&lt;H313,0,IF(F313-H313&lt;10,2,IF(F313&gt;H313,3,SE)))))</f>
        <v/>
      </c>
      <c r="Q313" s="40" t="str">
        <f>IF(OR(H313="",F313=""),"",IF(H313=F313,1,IF(H313&lt;F313,0,IF(H313-F313&lt;10,2,IF(H313&gt;F313,3,SE)))))</f>
        <v/>
      </c>
      <c r="R313" s="41" t="s">
        <v>31</v>
      </c>
      <c r="S313" s="41"/>
      <c r="T313" s="41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</row>
    <row r="314" spans="3:37" ht="15" customHeight="1">
      <c r="C314" s="40" t="str">
        <f>IF(OR(F314="",H314=""),"",IF(F314=H314,1,IF(F314&lt;H314,0,IF(F314-H314&lt;10,2,IF(F314&gt;H314,3,SE)))))</f>
        <v/>
      </c>
      <c r="D314" s="207" t="s">
        <v>168</v>
      </c>
      <c r="E314" s="208"/>
      <c r="F314" s="208"/>
      <c r="G314" s="208"/>
      <c r="H314" s="208"/>
      <c r="I314" s="208"/>
      <c r="J314" s="208"/>
      <c r="K314" s="208"/>
      <c r="L314" s="208"/>
      <c r="M314" s="208"/>
      <c r="N314" s="208"/>
      <c r="O314" s="209"/>
      <c r="Q314" s="40" t="str">
        <f>IF(OR(H314="",F314=""),"",IF(H314=F314,1,IF(H314&lt;F314,0,IF(H314-F314&lt;10,2,IF(H314&gt;F314,3,SE)))))</f>
        <v/>
      </c>
      <c r="R314" s="41" t="s">
        <v>32</v>
      </c>
      <c r="S314" s="41"/>
      <c r="T314" s="41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</row>
    <row r="315" spans="3:37" ht="15.75" customHeight="1" thickBot="1">
      <c r="C315" s="40" t="str">
        <f>IF(OR(F315="",H315=""),"",IF(F315=H315,1,IF(F315&lt;H315,0,IF(F315-H315&lt;10,2,IF(F315&gt;H315,3,SE)))))</f>
        <v/>
      </c>
      <c r="D315" s="210"/>
      <c r="E315" s="211"/>
      <c r="F315" s="211"/>
      <c r="G315" s="211"/>
      <c r="H315" s="211"/>
      <c r="I315" s="211"/>
      <c r="J315" s="211"/>
      <c r="K315" s="211"/>
      <c r="L315" s="211"/>
      <c r="M315" s="211"/>
      <c r="N315" s="211"/>
      <c r="O315" s="212"/>
      <c r="Q315" s="40" t="str">
        <f>IF(OR(H315="",F315=""),"",IF(H315=F315,1,IF(H315&lt;F315,0,IF(H315-F315&lt;10,2,IF(H315&gt;F315,3,SE)))))</f>
        <v/>
      </c>
      <c r="R315" s="41" t="s">
        <v>33</v>
      </c>
      <c r="S315" s="41"/>
      <c r="T315" s="41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</row>
    <row r="316" spans="3:37" ht="15.75" thickBot="1">
      <c r="C316" s="40">
        <f>IF(OR(F316="",H316=""),"",IF(F316=H316,1,IF(F316&lt;H316,0,IF(F316-H316&lt;10,2,IF(F316&gt;H316,3,SE)))))</f>
        <v>0</v>
      </c>
      <c r="D316" s="1" t="s">
        <v>0</v>
      </c>
      <c r="E316" s="2" t="s">
        <v>1</v>
      </c>
      <c r="F316" s="2" t="s">
        <v>21</v>
      </c>
      <c r="G316" s="2" t="s">
        <v>2</v>
      </c>
      <c r="H316" s="2" t="s">
        <v>22</v>
      </c>
      <c r="I316" s="2" t="s">
        <v>23</v>
      </c>
      <c r="J316" s="2" t="s">
        <v>24</v>
      </c>
      <c r="K316" s="2" t="s">
        <v>25</v>
      </c>
      <c r="L316" s="2" t="s">
        <v>27</v>
      </c>
      <c r="M316" s="2" t="s">
        <v>3</v>
      </c>
      <c r="N316" s="2" t="s">
        <v>4</v>
      </c>
      <c r="O316" s="3" t="s">
        <v>26</v>
      </c>
      <c r="Q316" s="40"/>
      <c r="R316" s="41" t="s">
        <v>18</v>
      </c>
      <c r="S316" s="41"/>
      <c r="T316" s="41"/>
      <c r="U316" s="45" t="s">
        <v>0</v>
      </c>
      <c r="V316" s="45" t="s">
        <v>6</v>
      </c>
      <c r="W316" s="45" t="s">
        <v>21</v>
      </c>
      <c r="X316" s="45" t="s">
        <v>2</v>
      </c>
      <c r="Y316" s="45" t="s">
        <v>22</v>
      </c>
      <c r="Z316" s="45" t="s">
        <v>23</v>
      </c>
      <c r="AA316" s="45" t="s">
        <v>24</v>
      </c>
      <c r="AB316" s="45" t="s">
        <v>25</v>
      </c>
      <c r="AC316" s="45" t="s">
        <v>7</v>
      </c>
      <c r="AD316" s="45" t="s">
        <v>8</v>
      </c>
      <c r="AE316" s="45" t="s">
        <v>9</v>
      </c>
      <c r="AF316" s="45" t="s">
        <v>26</v>
      </c>
      <c r="AG316" s="45" t="s">
        <v>10</v>
      </c>
      <c r="AH316" s="45" t="s">
        <v>11</v>
      </c>
      <c r="AI316" s="45" t="s">
        <v>12</v>
      </c>
      <c r="AJ316" s="44"/>
      <c r="AK316" s="44"/>
    </row>
    <row r="317" spans="3:37" ht="15.75" thickBot="1">
      <c r="C317" s="40">
        <f>IF(OR(F317="",H317=""),"",IF(F317=H317,1,IF(F317&lt;H317,0,IF(F317-H317&lt;10,2,IF(F317&gt;H317,3,SE)))))</f>
        <v>2</v>
      </c>
      <c r="D317" s="8" t="s">
        <v>13</v>
      </c>
      <c r="E317" s="9" t="str">
        <f>VLOOKUP(AI317,$U$317:$AH$320,2)</f>
        <v>Black sheep f.c</v>
      </c>
      <c r="F317" s="9">
        <f>VLOOKUP(AI317,$U$317:$AH$320,3)</f>
        <v>3</v>
      </c>
      <c r="G317" s="9">
        <f>VLOOKUP(AI317,$U$317:$AH$320,4)</f>
        <v>8</v>
      </c>
      <c r="H317" s="10">
        <f>VLOOKUP(AI317,$U$317:$AH$320,5)</f>
        <v>2</v>
      </c>
      <c r="I317" s="10">
        <f>VLOOKUP(AI317,$U$317:$AH$320,6)</f>
        <v>1</v>
      </c>
      <c r="J317" s="10">
        <f>VLOOKUP(AI317,$U$317:$AH$320,7)</f>
        <v>0</v>
      </c>
      <c r="K317" s="10">
        <f>VLOOKUP(AI317,$U$317:$AH$320,8)</f>
        <v>0</v>
      </c>
      <c r="L317" s="10">
        <f>VLOOKUP(AI317,$U$317:$AH$320,9)</f>
        <v>145</v>
      </c>
      <c r="M317" s="10">
        <f>VLOOKUP(AI317,$U$317:$AH$320,10)</f>
        <v>108</v>
      </c>
      <c r="N317" s="9">
        <f>VLOOKUP(AI317,$U$317:$AH$320,11)</f>
        <v>37</v>
      </c>
      <c r="O317" s="16">
        <f>VLOOKUP(AI317,$U$317:$AH$320,12)</f>
        <v>0.88888888888888884</v>
      </c>
      <c r="Q317" s="40"/>
      <c r="R317" s="41" t="s">
        <v>34</v>
      </c>
      <c r="S317" s="41"/>
      <c r="T317" s="41"/>
      <c r="U317" s="45">
        <v>1</v>
      </c>
      <c r="V317" s="44" t="str">
        <f>IF(OR('1ª fase'!K62="",'1ª fase'!M62=""),"VENCEDOR J40",IF('1ª fase'!K62&gt;'1ª fase'!M62,'1ª fase'!C62,'1ª fase'!N62))</f>
        <v>Us Karas</v>
      </c>
      <c r="W317" s="44">
        <f>COUNT(H325,H332,H338)</f>
        <v>3</v>
      </c>
      <c r="X317" s="44">
        <f>SUM(Q325,Q332,Q338)</f>
        <v>2</v>
      </c>
      <c r="Y317" s="44">
        <f>SUM(COUNTIFS($C$322:$C$338,3,$D$322:$D$338,V317),COUNTIFS($I$322:$I$338,V317,$Q$322:$Q$338,3))</f>
        <v>0</v>
      </c>
      <c r="Z317" s="44">
        <f>SUM(COUNTIFS($C$322:$C$338,2,$D$322:$D$338,V317),COUNTIFS($I$322:$I$338,V317,$Q$322:$Q$338,2))</f>
        <v>1</v>
      </c>
      <c r="AA317" s="44">
        <f>SUM(COUNTIFS($C$322:$C$338,1,$D$322:$D$338,V317),COUNTIFS($I$322:$I$338,V317,$Q$322:$Q$338,1))</f>
        <v>0</v>
      </c>
      <c r="AB317" s="44">
        <f>SUM(COUNTIFS($C$322:$C$338,0,$D$322:$D$338,V317),COUNTIFS($I$322:$I$338,V317,$Q$322:$Q$338,0))</f>
        <v>2</v>
      </c>
      <c r="AC317" s="121">
        <f>SUM(H325,H332,H338)</f>
        <v>116</v>
      </c>
      <c r="AD317" s="121">
        <f>SUM(F325,F332,F338)</f>
        <v>128</v>
      </c>
      <c r="AE317" s="121">
        <f>AC317-AD317</f>
        <v>-12</v>
      </c>
      <c r="AF317" s="121">
        <f>IF(OR($F$69="",$H$69=""),0,(X317/(W317*3)))</f>
        <v>0.22222222222222221</v>
      </c>
      <c r="AG317" s="44">
        <f>(X317*10^15)+((AC317+5000)*10^6)+AE317*10+U317</f>
        <v>2000005115999881</v>
      </c>
      <c r="AH317" s="44">
        <f>LARGE($AG$317:$AG$320,U317)</f>
        <v>8000005145000373</v>
      </c>
      <c r="AI317" s="90">
        <f>MATCH(AH317,$AG$317:$AG$320,0)</f>
        <v>3</v>
      </c>
      <c r="AJ317" s="44"/>
      <c r="AK317" s="44"/>
    </row>
    <row r="318" spans="3:37" ht="15.75" thickBot="1">
      <c r="C318" s="40">
        <f>IF(OR(F318="",H318=""),"",IF(F318=H318,1,IF(F318&lt;H318,0,IF(F318-H318&lt;10,2,IF(F318&gt;H318,3,SE)))))</f>
        <v>2</v>
      </c>
      <c r="D318" s="11" t="s">
        <v>15</v>
      </c>
      <c r="E318" s="91" t="str">
        <f t="shared" ref="E318:E320" si="157">VLOOKUP(AI318,$U$317:$AH$320,2)</f>
        <v>Engenheirense</v>
      </c>
      <c r="F318" s="91">
        <f t="shared" ref="F318:F320" si="158">VLOOKUP(AI318,$U$317:$AH$320,3)</f>
        <v>3</v>
      </c>
      <c r="G318" s="91">
        <f t="shared" ref="G318:G320" si="159">VLOOKUP(AI318,$U$317:$AH$320,4)</f>
        <v>2</v>
      </c>
      <c r="H318" s="92">
        <f t="shared" ref="H318:H320" si="160">VLOOKUP(AI318,$U$317:$AH$320,5)</f>
        <v>0</v>
      </c>
      <c r="I318" s="92">
        <f t="shared" ref="I318:I320" si="161">VLOOKUP(AI318,$U$317:$AH$320,6)</f>
        <v>1</v>
      </c>
      <c r="J318" s="92">
        <f t="shared" ref="J318:J320" si="162">VLOOKUP(AI318,$U$317:$AH$320,7)</f>
        <v>0</v>
      </c>
      <c r="K318" s="92">
        <f t="shared" ref="K318:K320" si="163">VLOOKUP(AI318,$U$317:$AH$320,8)</f>
        <v>2</v>
      </c>
      <c r="L318" s="92">
        <f t="shared" ref="L318:L320" si="164">VLOOKUP(AI318,$U$317:$AH$320,9)</f>
        <v>145</v>
      </c>
      <c r="M318" s="92">
        <f t="shared" ref="M318:M320" si="165">VLOOKUP(AI318,$U$317:$AH$320,10)</f>
        <v>160</v>
      </c>
      <c r="N318" s="91">
        <f t="shared" ref="N318:N320" si="166">VLOOKUP(AI318,$U$317:$AH$320,11)</f>
        <v>-15</v>
      </c>
      <c r="O318" s="93">
        <f t="shared" ref="O318:O320" si="167">VLOOKUP(AI318,$U$317:$AH$320,12)</f>
        <v>0.22222222222222221</v>
      </c>
      <c r="Q318" s="40"/>
      <c r="R318" s="46"/>
      <c r="S318" s="41" t="s">
        <v>35</v>
      </c>
      <c r="T318" s="41"/>
      <c r="U318" s="45">
        <v>2</v>
      </c>
      <c r="V318" s="44" t="str">
        <f>IF(OR('1ª fase'!K61="",'1ª fase'!M61=""),"VENCEDOR J39",IF('1ª fase'!K61&gt;'1ª fase'!M61,'1ª fase'!C61,'1ª fase'!N61))</f>
        <v>Engenheirense</v>
      </c>
      <c r="W318" s="44">
        <f>COUNT(H326,H331,F338)</f>
        <v>3</v>
      </c>
      <c r="X318" s="44">
        <f>SUM(Q326,Q331,C338)</f>
        <v>2</v>
      </c>
      <c r="Y318" s="44">
        <f t="shared" ref="Y318:Y320" si="168">SUM(COUNTIFS($C$322:$C$338,3,$D$322:$D$338,V318),COUNTIFS($I$322:$I$338,V318,$Q$322:$Q$338,3))</f>
        <v>0</v>
      </c>
      <c r="Z318" s="44">
        <f t="shared" ref="Z318:Z320" si="169">SUM(COUNTIFS($C$322:$C$338,2,$D$322:$D$338,V318),COUNTIFS($I$322:$I$338,V318,$Q$322:$Q$338,2))</f>
        <v>1</v>
      </c>
      <c r="AA318" s="44">
        <f t="shared" ref="AA318:AA320" si="170">SUM(COUNTIFS($C$322:$C$338,1,$D$322:$D$338,V318),COUNTIFS($I$322:$I$338,V318,$Q$322:$Q$338,1))</f>
        <v>0</v>
      </c>
      <c r="AB318" s="44">
        <f t="shared" ref="AB318:AB320" si="171">SUM(COUNTIFS($C$322:$C$338,0,$D$322:$D$338,V318),COUNTIFS($I$322:$I$338,V318,$Q$322:$Q$338,0))</f>
        <v>2</v>
      </c>
      <c r="AC318" s="121">
        <f>SUM(H326,H331,F338)</f>
        <v>145</v>
      </c>
      <c r="AD318" s="121">
        <f>SUM(H338,F331,F326)</f>
        <v>160</v>
      </c>
      <c r="AE318" s="121">
        <f t="shared" ref="AE318:AE320" si="172">AC318-AD318</f>
        <v>-15</v>
      </c>
      <c r="AF318" s="121">
        <f t="shared" ref="AF318:AF320" si="173">IF(OR($F$69="",$H$69=""),0,(X318/(W318*3)))</f>
        <v>0.22222222222222221</v>
      </c>
      <c r="AG318" s="44">
        <f t="shared" ref="AG318:AG320" si="174">(X318*10^15)+((AC318+5000)*10^6)+AE318*10+U318</f>
        <v>2000005144999852</v>
      </c>
      <c r="AH318" s="44">
        <f t="shared" ref="AH318:AH320" si="175">LARGE($AG$317:$AG$320,U318)</f>
        <v>2000005144999852</v>
      </c>
      <c r="AI318" s="90">
        <f t="shared" ref="AI318:AI320" si="176">MATCH(AH318,$AG$317:$AG$320,0)</f>
        <v>2</v>
      </c>
      <c r="AJ318" s="44"/>
      <c r="AK318" s="44"/>
    </row>
    <row r="319" spans="3:37" ht="15.75" thickBot="1">
      <c r="C319" s="40">
        <f>IF(OR(F319="",H319=""),"",IF(F319=H319,1,IF(F319&lt;H319,0,IF(F319-H319&lt;10,2,IF(F319&gt;H319,3,SE)))))</f>
        <v>2</v>
      </c>
      <c r="D319" s="30" t="s">
        <v>16</v>
      </c>
      <c r="E319" s="31" t="str">
        <f t="shared" si="157"/>
        <v>Riquelminho F.C.</v>
      </c>
      <c r="F319" s="31">
        <f t="shared" si="158"/>
        <v>3</v>
      </c>
      <c r="G319" s="31">
        <f t="shared" si="159"/>
        <v>2</v>
      </c>
      <c r="H319" s="32">
        <f t="shared" si="160"/>
        <v>0</v>
      </c>
      <c r="I319" s="32">
        <f t="shared" si="161"/>
        <v>1</v>
      </c>
      <c r="J319" s="32">
        <f t="shared" si="162"/>
        <v>0</v>
      </c>
      <c r="K319" s="32">
        <f t="shared" si="163"/>
        <v>2</v>
      </c>
      <c r="L319" s="32">
        <f t="shared" si="164"/>
        <v>131</v>
      </c>
      <c r="M319" s="32">
        <f t="shared" si="165"/>
        <v>141</v>
      </c>
      <c r="N319" s="31">
        <f t="shared" si="166"/>
        <v>-10</v>
      </c>
      <c r="O319" s="33">
        <f t="shared" si="167"/>
        <v>0.22222222222222221</v>
      </c>
      <c r="Q319" s="40"/>
      <c r="R319" s="47"/>
      <c r="S319" s="19" t="s">
        <v>38</v>
      </c>
      <c r="T319" s="41"/>
      <c r="U319" s="45">
        <v>3</v>
      </c>
      <c r="V319" s="44" t="str">
        <f>IF(OR('1ª fase'!K60="",'1ª fase'!M60=""),"VENCEDOR J38",IF('1ª fase'!K60&gt;'1ª fase'!M60,'1ª fase'!C60,'1ª fase'!N60))</f>
        <v>Black sheep f.c</v>
      </c>
      <c r="W319" s="44">
        <f>COUNT(H337,F332,F326)</f>
        <v>3</v>
      </c>
      <c r="X319" s="44">
        <f>SUM(C326,C332,Q337)</f>
        <v>8</v>
      </c>
      <c r="Y319" s="44">
        <f t="shared" si="168"/>
        <v>2</v>
      </c>
      <c r="Z319" s="44">
        <f t="shared" si="169"/>
        <v>1</v>
      </c>
      <c r="AA319" s="44">
        <f t="shared" si="170"/>
        <v>0</v>
      </c>
      <c r="AB319" s="44">
        <f t="shared" si="171"/>
        <v>0</v>
      </c>
      <c r="AC319" s="121">
        <f>SUM(H337,F332,F326)</f>
        <v>145</v>
      </c>
      <c r="AD319" s="121">
        <f>SUM(H326,H332,F337)</f>
        <v>108</v>
      </c>
      <c r="AE319" s="121">
        <f t="shared" si="172"/>
        <v>37</v>
      </c>
      <c r="AF319" s="121">
        <f t="shared" si="173"/>
        <v>0.88888888888888884</v>
      </c>
      <c r="AG319" s="44">
        <f t="shared" si="174"/>
        <v>8000005145000373</v>
      </c>
      <c r="AH319" s="44">
        <f t="shared" si="175"/>
        <v>2000005130999904</v>
      </c>
      <c r="AI319" s="90">
        <f t="shared" si="176"/>
        <v>4</v>
      </c>
      <c r="AJ319" s="44"/>
      <c r="AK319" s="44"/>
    </row>
    <row r="320" spans="3:37" ht="15.75" thickBot="1">
      <c r="C320" s="40">
        <f>IF(OR(F320="",H320=""),"",IF(F320=H320,1,IF(F320&lt;H320,0,IF(F320-H320&lt;10,2,IF(F320&gt;H320,3,SE)))))</f>
        <v>2</v>
      </c>
      <c r="D320" s="12" t="s">
        <v>17</v>
      </c>
      <c r="E320" s="6" t="str">
        <f t="shared" si="157"/>
        <v>Us Karas</v>
      </c>
      <c r="F320" s="6">
        <f t="shared" si="158"/>
        <v>3</v>
      </c>
      <c r="G320" s="6">
        <f t="shared" si="159"/>
        <v>2</v>
      </c>
      <c r="H320" s="7">
        <f t="shared" si="160"/>
        <v>0</v>
      </c>
      <c r="I320" s="7">
        <f t="shared" si="161"/>
        <v>1</v>
      </c>
      <c r="J320" s="7">
        <f t="shared" si="162"/>
        <v>0</v>
      </c>
      <c r="K320" s="7">
        <f t="shared" si="163"/>
        <v>2</v>
      </c>
      <c r="L320" s="7">
        <f t="shared" si="164"/>
        <v>116</v>
      </c>
      <c r="M320" s="7">
        <f t="shared" si="165"/>
        <v>128</v>
      </c>
      <c r="N320" s="6">
        <f t="shared" si="166"/>
        <v>-12</v>
      </c>
      <c r="O320" s="15">
        <f t="shared" si="167"/>
        <v>0.22222222222222221</v>
      </c>
      <c r="Q320" s="40"/>
      <c r="R320" s="48"/>
      <c r="S320" s="41" t="s">
        <v>37</v>
      </c>
      <c r="T320" s="41"/>
      <c r="U320" s="45">
        <v>4</v>
      </c>
      <c r="V320" s="44" t="str">
        <f>IF(OR('1ª fase'!K59="",'1ª fase'!M59=""),"VENCEDOR J37",IF('1ª fase'!K59&gt;'1ª fase'!M59,'1ª fase'!C59,'1ª fase'!N59))</f>
        <v>Riquelminho F.C.</v>
      </c>
      <c r="W320" s="44">
        <f>COUNT(H337,F332,F326)</f>
        <v>3</v>
      </c>
      <c r="X320" s="44">
        <f>SUM(C325,C331,C337)</f>
        <v>2</v>
      </c>
      <c r="Y320" s="44">
        <f t="shared" si="168"/>
        <v>0</v>
      </c>
      <c r="Z320" s="44">
        <f t="shared" si="169"/>
        <v>1</v>
      </c>
      <c r="AA320" s="44">
        <f t="shared" si="170"/>
        <v>0</v>
      </c>
      <c r="AB320" s="44">
        <f t="shared" si="171"/>
        <v>2</v>
      </c>
      <c r="AC320" s="121">
        <f>SUM(F325,F331,F337)</f>
        <v>131</v>
      </c>
      <c r="AD320" s="121">
        <f>SUM(H337,H331,H325)</f>
        <v>141</v>
      </c>
      <c r="AE320" s="121">
        <f t="shared" si="172"/>
        <v>-10</v>
      </c>
      <c r="AF320" s="121">
        <f t="shared" si="173"/>
        <v>0.22222222222222221</v>
      </c>
      <c r="AG320" s="44">
        <f t="shared" si="174"/>
        <v>2000005130999904</v>
      </c>
      <c r="AH320" s="44">
        <f t="shared" si="175"/>
        <v>2000005115999881</v>
      </c>
      <c r="AI320" s="90">
        <f t="shared" si="176"/>
        <v>1</v>
      </c>
      <c r="AJ320" s="44"/>
      <c r="AK320" s="44"/>
    </row>
    <row r="321" spans="3:37" ht="18.75" customHeight="1" thickBot="1">
      <c r="C321" s="40" t="str">
        <f>IF(OR(F321="",H321=""),"",IF(F321=H321,1,IF(F321&lt;H321,0,IF(F321-H321&lt;10,2,IF(F321&gt;H321,3,SE)))))</f>
        <v/>
      </c>
      <c r="Q321" s="40" t="str">
        <f>IF(OR(H321="",F321=""),"",IF(H321=F321,1,IF(H321&lt;F321,0,IF(H321-F321&lt;10,2,IF(H321&gt;F321,3,SE)))))</f>
        <v/>
      </c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</row>
    <row r="322" spans="3:37" ht="15" customHeight="1">
      <c r="C322" s="40" t="str">
        <f>IF(OR(F322="",H322=""),"",IF(F322=H322,1,IF(F322&lt;H322,0,IF(F322-H322&lt;10,2,IF(F322&gt;H322,3,SE)))))</f>
        <v/>
      </c>
      <c r="D322" s="198" t="s">
        <v>160</v>
      </c>
      <c r="E322" s="199"/>
      <c r="F322" s="199"/>
      <c r="G322" s="199"/>
      <c r="H322" s="199"/>
      <c r="I322" s="199"/>
      <c r="J322" s="199"/>
      <c r="K322" s="199"/>
      <c r="L322" s="199"/>
      <c r="M322" s="199"/>
      <c r="N322" s="199"/>
      <c r="O322" s="199"/>
      <c r="P322" s="200"/>
      <c r="Q322" s="40" t="str">
        <f>IF(OR(H322="",F322=""),"",IF(H322=F322,1,IF(H322&lt;F322,0,IF(H322-F322&lt;10,2,IF(H322&gt;F322,3,SE)))))</f>
        <v/>
      </c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</row>
    <row r="323" spans="3:37" ht="15.75" customHeight="1" thickBot="1">
      <c r="C323" s="40" t="str">
        <f>IF(OR(F323="",H323=""),"",IF(F323=H323,1,IF(F323&lt;H323,0,IF(F323-H323&lt;10,2,IF(F323&gt;H323,3,SE)))))</f>
        <v/>
      </c>
      <c r="D323" s="204"/>
      <c r="E323" s="205"/>
      <c r="F323" s="205"/>
      <c r="G323" s="205"/>
      <c r="H323" s="205"/>
      <c r="I323" s="205"/>
      <c r="J323" s="205"/>
      <c r="K323" s="205"/>
      <c r="L323" s="205"/>
      <c r="M323" s="205"/>
      <c r="N323" s="205"/>
      <c r="O323" s="205"/>
      <c r="P323" s="206"/>
      <c r="Q323" s="40" t="str">
        <f>IF(OR(H323="",F323=""),"",IF(H323=F323,1,IF(H323&lt;F323,0,IF(H323-F323&lt;10,2,IF(H323&gt;F323,3,SE)))))</f>
        <v/>
      </c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</row>
    <row r="324" spans="3:37">
      <c r="C324" s="40" t="str">
        <f>IF(OR(F324="",H324=""),"",IF(F324=H324,1,IF(F324&lt;H324,0,IF(F324-H324&lt;10,2,IF(F324&gt;H324,3,SE)))))</f>
        <v/>
      </c>
      <c r="Q324" s="40" t="str">
        <f>IF(OR(H324="",F324=""),"",IF(H324=F324,1,IF(H324&lt;F324,0,IF(H324-F324&lt;10,2,IF(H324&gt;F324,3,SE)))))</f>
        <v/>
      </c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</row>
    <row r="325" spans="3:37">
      <c r="C325" s="40">
        <f>IF(OR(F325="",H325=""),"",IF(F325=H325,1,IF(F325&lt;H325,0,IF(F325-H325&lt;10,2,IF(F325&gt;H325,3,SE)))))</f>
        <v>0</v>
      </c>
      <c r="D325" s="197" t="str">
        <f>V320</f>
        <v>Riquelminho F.C.</v>
      </c>
      <c r="E325" s="197"/>
      <c r="F325" s="140">
        <v>46</v>
      </c>
      <c r="G325" s="18" t="s">
        <v>19</v>
      </c>
      <c r="H325" s="141">
        <v>49</v>
      </c>
      <c r="I325" s="197" t="str">
        <f>V317</f>
        <v>Us Karas</v>
      </c>
      <c r="J325" s="197"/>
      <c r="K325" s="197"/>
      <c r="L325" s="197"/>
      <c r="M325" s="197"/>
      <c r="N325" s="197"/>
      <c r="O325" s="197"/>
      <c r="P325" s="197"/>
      <c r="Q325" s="40">
        <f>IF(OR(H325="",F325=""),"",IF(H325=F325,1,IF(H325&lt;F325,0,IF(H325-F325&lt;10,2,IF(H325&gt;F325,3,SE)))))</f>
        <v>2</v>
      </c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</row>
    <row r="326" spans="3:37">
      <c r="C326" s="40">
        <f>IF(OR(F326="",H326=""),"",IF(F326=H326,1,IF(F326&lt;H326,0,IF(F326-H326&lt;10,2,IF(F326&gt;H326,3,SE)))))</f>
        <v>3</v>
      </c>
      <c r="D326" s="197" t="str">
        <f>V319</f>
        <v>Black sheep f.c</v>
      </c>
      <c r="E326" s="197"/>
      <c r="F326" s="141">
        <v>65</v>
      </c>
      <c r="G326" s="18" t="s">
        <v>19</v>
      </c>
      <c r="H326" s="140">
        <v>51</v>
      </c>
      <c r="I326" s="197" t="str">
        <f>V318</f>
        <v>Engenheirense</v>
      </c>
      <c r="J326" s="197"/>
      <c r="K326" s="197"/>
      <c r="L326" s="197"/>
      <c r="M326" s="197"/>
      <c r="N326" s="197"/>
      <c r="O326" s="197"/>
      <c r="P326" s="197"/>
      <c r="Q326" s="40">
        <f>IF(OR(H326="",F326=""),"",IF(H326=F326,1,IF(H326&lt;F326,0,IF(H326-F326&lt;10,2,IF(H326&gt;F326,3,SE)))))</f>
        <v>0</v>
      </c>
      <c r="R326" s="41"/>
      <c r="S326" s="41"/>
      <c r="T326" s="41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</row>
    <row r="327" spans="3:37" ht="15.75" thickBot="1">
      <c r="C327" s="40" t="str">
        <f>IF(OR(F327="",H327=""),"",IF(F327=H327,1,IF(F327&lt;H327,0,IF(F327-H327&lt;10,2,IF(F327&gt;H327,3,SE)))))</f>
        <v/>
      </c>
      <c r="Q327" s="40" t="str">
        <f>IF(OR(H327="",F327=""),"",IF(H327=F327,1,IF(H327&lt;F327,0,IF(H327-F327&lt;10,2,IF(H327&gt;F327,3,SE)))))</f>
        <v/>
      </c>
      <c r="R327" s="41"/>
      <c r="S327" s="41"/>
      <c r="T327" s="41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</row>
    <row r="328" spans="3:37" ht="15" customHeight="1">
      <c r="C328" s="40" t="str">
        <f>IF(OR(F328="",H328=""),"",IF(F328=H328,1,IF(F328&lt;H328,0,IF(F328-H328&lt;10,2,IF(F328&gt;H328,3,SE)))))</f>
        <v/>
      </c>
      <c r="D328" s="207" t="s">
        <v>161</v>
      </c>
      <c r="E328" s="208"/>
      <c r="F328" s="208"/>
      <c r="G328" s="208"/>
      <c r="H328" s="208"/>
      <c r="I328" s="208"/>
      <c r="J328" s="208"/>
      <c r="K328" s="208"/>
      <c r="L328" s="208"/>
      <c r="M328" s="208"/>
      <c r="N328" s="208"/>
      <c r="O328" s="208"/>
      <c r="P328" s="209"/>
      <c r="Q328" s="40" t="str">
        <f>IF(OR(H328="",F328=""),"",IF(H328=F328,1,IF(H328&lt;F328,0,IF(H328-F328&lt;10,2,IF(H328&gt;F328,3,SE)))))</f>
        <v/>
      </c>
      <c r="R328" s="41"/>
      <c r="S328" s="41"/>
      <c r="T328" s="41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</row>
    <row r="329" spans="3:37" ht="15.75" customHeight="1" thickBot="1">
      <c r="C329" s="40" t="str">
        <f>IF(OR(F329="",H329=""),"",IF(F329=H329,1,IF(F329&lt;H329,0,IF(F329-H329&lt;10,2,IF(F329&gt;H329,3,SE)))))</f>
        <v/>
      </c>
      <c r="D329" s="210"/>
      <c r="E329" s="211"/>
      <c r="F329" s="211"/>
      <c r="G329" s="211"/>
      <c r="H329" s="211"/>
      <c r="I329" s="211"/>
      <c r="J329" s="211"/>
      <c r="K329" s="211"/>
      <c r="L329" s="211"/>
      <c r="M329" s="211"/>
      <c r="N329" s="211"/>
      <c r="O329" s="211"/>
      <c r="P329" s="212"/>
      <c r="Q329" s="40" t="str">
        <f>IF(OR(H329="",F329=""),"",IF(H329=F329,1,IF(H329&lt;F329,0,IF(H329-F329&lt;10,2,IF(H329&gt;F329,3,SE)))))</f>
        <v/>
      </c>
      <c r="R329" s="41"/>
      <c r="S329" s="41"/>
      <c r="T329" s="41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</row>
    <row r="330" spans="3:37">
      <c r="C330" s="40" t="str">
        <f>IF(OR(F330="",H330=""),"",IF(F330=H330,1,IF(F330&lt;H330,0,IF(F330-H330&lt;10,2,IF(F330&gt;H330,3,SE)))))</f>
        <v/>
      </c>
      <c r="Q330" s="40" t="str">
        <f>IF(OR(H330="",F330=""),"",IF(H330=F330,1,IF(H330&lt;F330,0,IF(H330-F330&lt;10,2,IF(H330&gt;F330,3,SE)))))</f>
        <v/>
      </c>
      <c r="R330" s="41"/>
      <c r="S330" s="41"/>
      <c r="T330" s="41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</row>
    <row r="331" spans="3:37">
      <c r="C331" s="40">
        <f>IF(OR(F331="",H331=""),"",IF(F331=H331,1,IF(F331&lt;H331,0,IF(F331-H331&lt;10,2,IF(F331&gt;H331,3,SE)))))</f>
        <v>2</v>
      </c>
      <c r="D331" s="197" t="str">
        <f>V320</f>
        <v>Riquelminho F.C.</v>
      </c>
      <c r="E331" s="197"/>
      <c r="F331" s="141">
        <v>62</v>
      </c>
      <c r="G331" s="18" t="s">
        <v>19</v>
      </c>
      <c r="H331" s="140">
        <v>55</v>
      </c>
      <c r="I331" s="197" t="str">
        <f>V318</f>
        <v>Engenheirense</v>
      </c>
      <c r="J331" s="197"/>
      <c r="K331" s="197"/>
      <c r="L331" s="197"/>
      <c r="M331" s="197"/>
      <c r="N331" s="197"/>
      <c r="O331" s="197"/>
      <c r="P331" s="197"/>
      <c r="Q331" s="40">
        <f>IF(OR(H331="",F331=""),"",IF(H331=F331,1,IF(H331&lt;F331,0,IF(H331-F331&lt;10,2,IF(H331&gt;F331,3,SE)))))</f>
        <v>0</v>
      </c>
      <c r="R331" s="41"/>
      <c r="S331" s="41"/>
      <c r="T331" s="41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</row>
    <row r="332" spans="3:37">
      <c r="C332" s="40">
        <f>IF(OR(F332="",H332=""),"",IF(F332=H332,1,IF(F332&lt;H332,0,IF(F332-H332&lt;10,2,IF(F332&gt;H332,3,SE)))))</f>
        <v>2</v>
      </c>
      <c r="D332" s="197" t="str">
        <f>V319</f>
        <v>Black sheep f.c</v>
      </c>
      <c r="E332" s="197"/>
      <c r="F332" s="141">
        <v>43</v>
      </c>
      <c r="G332" s="18" t="s">
        <v>19</v>
      </c>
      <c r="H332" s="140">
        <v>34</v>
      </c>
      <c r="I332" s="197" t="str">
        <f>V317</f>
        <v>Us Karas</v>
      </c>
      <c r="J332" s="197"/>
      <c r="K332" s="197"/>
      <c r="L332" s="197"/>
      <c r="M332" s="197"/>
      <c r="N332" s="197"/>
      <c r="O332" s="197"/>
      <c r="P332" s="197"/>
      <c r="Q332" s="40">
        <f>IF(OR(H332="",F332=""),"",IF(H332=F332,1,IF(H332&lt;F332,0,IF(H332-F332&lt;10,2,IF(H332&gt;F332,3,SE)))))</f>
        <v>0</v>
      </c>
      <c r="R332" s="41"/>
      <c r="S332" s="41"/>
      <c r="T332" s="41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</row>
    <row r="333" spans="3:37" ht="15.75" thickBot="1">
      <c r="C333" s="40" t="str">
        <f>IF(OR(F333="",H333=""),"",IF(F333=H333,1,IF(F333&lt;H333,0,IF(F333-H333&lt;10,2,IF(F333&gt;H333,3,SE)))))</f>
        <v/>
      </c>
      <c r="F333" s="20"/>
      <c r="Q333" s="40" t="str">
        <f>IF(OR(H333="",F333=""),"",IF(H333=F333,1,IF(H333&lt;F333,0,IF(H333-F333&lt;10,2,IF(H333&gt;F333,3,SE)))))</f>
        <v/>
      </c>
      <c r="R333" s="41"/>
      <c r="S333" s="41"/>
      <c r="T333" s="41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</row>
    <row r="334" spans="3:37">
      <c r="C334" s="40" t="str">
        <f>IF(OR(F334="",H334=""),"",IF(F334=H334,1,IF(F334&lt;H334,0,IF(F334-H334&lt;10,2,IF(F334&gt;H334,3,SE)))))</f>
        <v/>
      </c>
      <c r="D334" s="207" t="s">
        <v>162</v>
      </c>
      <c r="E334" s="208"/>
      <c r="F334" s="208"/>
      <c r="G334" s="208"/>
      <c r="H334" s="208"/>
      <c r="I334" s="208"/>
      <c r="J334" s="208"/>
      <c r="K334" s="208"/>
      <c r="L334" s="208"/>
      <c r="M334" s="208"/>
      <c r="N334" s="208"/>
      <c r="O334" s="208"/>
      <c r="P334" s="209"/>
      <c r="Q334" s="40" t="str">
        <f>IF(OR(H334="",F334=""),"",IF(H334=F334,1,IF(H334&lt;F334,0,IF(H334-F334&lt;10,2,IF(H334&gt;F334,3,SE)))))</f>
        <v/>
      </c>
      <c r="R334" s="41"/>
      <c r="S334" s="41"/>
      <c r="T334" s="41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</row>
    <row r="335" spans="3:37" ht="15.75" thickBot="1">
      <c r="C335" s="40" t="str">
        <f>IF(OR(F335="",H335=""),"",IF(F335=H335,1,IF(F335&lt;H335,0,IF(F335-H335&lt;10,2,IF(F335&gt;H335,3,SE)))))</f>
        <v/>
      </c>
      <c r="D335" s="210"/>
      <c r="E335" s="211"/>
      <c r="F335" s="211"/>
      <c r="G335" s="211"/>
      <c r="H335" s="211"/>
      <c r="I335" s="211"/>
      <c r="J335" s="211"/>
      <c r="K335" s="211"/>
      <c r="L335" s="211"/>
      <c r="M335" s="211"/>
      <c r="N335" s="211"/>
      <c r="O335" s="211"/>
      <c r="P335" s="212"/>
      <c r="Q335" s="40" t="str">
        <f>IF(OR(H335="",F335=""),"",IF(H335=F335,1,IF(H335&lt;F335,0,IF(H335-F335&lt;10,2,IF(H335&gt;F335,3,SE)))))</f>
        <v/>
      </c>
      <c r="R335" s="41"/>
      <c r="S335" s="41"/>
      <c r="T335" s="41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</row>
    <row r="336" spans="3:37">
      <c r="C336" s="40" t="str">
        <f>IF(OR(F336="",H336=""),"",IF(F336=H336,1,IF(F336&lt;H336,0,IF(F336-H336&lt;10,2,IF(F336&gt;H336,3,SE)))))</f>
        <v/>
      </c>
      <c r="Q336" s="40" t="str">
        <f>IF(OR(H336="",F336=""),"",IF(H336=F336,1,IF(H336&lt;F336,0,IF(H336-F336&lt;10,2,IF(H336&gt;F336,3,SE)))))</f>
        <v/>
      </c>
      <c r="R336" s="41"/>
      <c r="S336" s="41"/>
      <c r="T336" s="41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</row>
    <row r="337" spans="3:37">
      <c r="C337" s="40">
        <f>IF(OR(F337="",H337=""),"",IF(F337=H337,1,IF(F337&lt;H337,0,IF(F337-H337&lt;10,2,IF(F337&gt;H337,3,SE)))))</f>
        <v>0</v>
      </c>
      <c r="D337" s="197" t="str">
        <f>V320</f>
        <v>Riquelminho F.C.</v>
      </c>
      <c r="E337" s="197"/>
      <c r="F337" s="140">
        <v>23</v>
      </c>
      <c r="G337" s="18" t="s">
        <v>19</v>
      </c>
      <c r="H337" s="141">
        <v>37</v>
      </c>
      <c r="I337" s="197" t="str">
        <f>V319</f>
        <v>Black sheep f.c</v>
      </c>
      <c r="J337" s="197"/>
      <c r="K337" s="197"/>
      <c r="L337" s="197"/>
      <c r="M337" s="197"/>
      <c r="N337" s="197"/>
      <c r="O337" s="197"/>
      <c r="P337" s="197"/>
      <c r="Q337" s="40">
        <f>IF(OR(H337="",F337=""),"",IF(H337=F337,1,IF(H337&lt;F337,0,IF(H337-F337&lt;10,2,IF(H337&gt;F337,3,SE)))))</f>
        <v>3</v>
      </c>
      <c r="R337" s="41"/>
      <c r="S337" s="41"/>
      <c r="T337" s="41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</row>
    <row r="338" spans="3:37">
      <c r="C338" s="40">
        <f>IF(OR(F338="",H338=""),"",IF(F338=H338,1,IF(F338&lt;H338,0,IF(F338-H338&lt;10,2,IF(F338&gt;H338,3,SE)))))</f>
        <v>2</v>
      </c>
      <c r="D338" s="197" t="str">
        <f>V318</f>
        <v>Engenheirense</v>
      </c>
      <c r="E338" s="197"/>
      <c r="F338" s="141">
        <v>39</v>
      </c>
      <c r="G338" s="18" t="s">
        <v>19</v>
      </c>
      <c r="H338" s="140">
        <v>33</v>
      </c>
      <c r="I338" s="197" t="str">
        <f>V317</f>
        <v>Us Karas</v>
      </c>
      <c r="J338" s="197"/>
      <c r="K338" s="197"/>
      <c r="L338" s="197"/>
      <c r="M338" s="197"/>
      <c r="N338" s="197"/>
      <c r="O338" s="197"/>
      <c r="P338" s="197"/>
      <c r="Q338" s="40">
        <f>IF(OR(H338="",F338=""),"",IF(H338=F338,1,IF(H338&lt;F338,0,IF(H338-F338&lt;10,2,IF(H338&gt;F338,3,SE)))))</f>
        <v>0</v>
      </c>
      <c r="R338" s="41"/>
      <c r="S338" s="41"/>
      <c r="T338" s="41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</row>
    <row r="339" spans="3:37">
      <c r="C339" s="40" t="str">
        <f>IF(OR(F339="",H339=""),"",IF(F339=H339,1,IF(F339&lt;H339,0,IF(F339-H339&lt;10,2,IF(F339&gt;H339,3,SE)))))</f>
        <v/>
      </c>
      <c r="Q339" s="40" t="str">
        <f>IF(OR(H339="",F339=""),"",IF(H339=F339,1,IF(H339&lt;F339,0,IF(H339-F339&lt;10,2,IF(H339&gt;F339,3,SE)))))</f>
        <v/>
      </c>
      <c r="R339" s="41"/>
      <c r="S339" s="41"/>
      <c r="T339" s="41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</row>
    <row r="340" spans="3:37">
      <c r="C340" s="40" t="str">
        <f>IF(OR(F340="",H340=""),"",IF(F340=H340,1,IF(F340&lt;H340,0,IF(F340-H340&lt;10,2,IF(F340&gt;H340,3,SE)))))</f>
        <v/>
      </c>
      <c r="D340" s="21"/>
      <c r="E340" s="21"/>
      <c r="F340" s="22"/>
      <c r="G340" s="23"/>
      <c r="H340" s="22"/>
      <c r="I340" s="21"/>
      <c r="J340" s="21"/>
      <c r="K340" s="21"/>
      <c r="L340" s="21"/>
      <c r="M340" s="21"/>
      <c r="N340" s="21"/>
      <c r="O340" s="21"/>
      <c r="P340" s="21"/>
      <c r="Q340" s="40"/>
      <c r="R340" s="41" t="s">
        <v>5</v>
      </c>
      <c r="S340" s="43"/>
      <c r="T340" s="41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</row>
    <row r="341" spans="3:37">
      <c r="C341" s="40" t="str">
        <f>IF(OR(F341="",H341=""),"",IF(F341=H341,1,IF(F341&lt;H341,0,IF(F341-H341&lt;10,2,IF(F341&gt;H341,3,SE)))))</f>
        <v/>
      </c>
      <c r="D341" s="21"/>
      <c r="E341" s="21"/>
      <c r="F341" s="22"/>
      <c r="G341" s="23"/>
      <c r="H341" s="22"/>
      <c r="I341" s="21"/>
      <c r="J341" s="21"/>
      <c r="K341" s="21"/>
      <c r="L341" s="21"/>
      <c r="M341" s="21"/>
      <c r="N341" s="21"/>
      <c r="O341" s="21"/>
      <c r="P341" s="21"/>
      <c r="Q341" s="40"/>
      <c r="R341" s="41" t="s">
        <v>14</v>
      </c>
      <c r="S341" s="43"/>
      <c r="T341" s="41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</row>
    <row r="342" spans="3:37">
      <c r="C342" s="40" t="str">
        <f>IF(OR(F342="",H342=""),"",IF(F342=H342,1,IF(F342&lt;H342,0,IF(F342-H342&lt;10,2,IF(F342&gt;H342,3,SE)))))</f>
        <v/>
      </c>
      <c r="D342" s="21"/>
      <c r="E342" s="21"/>
      <c r="F342" s="22"/>
      <c r="G342" s="23"/>
      <c r="H342" s="22"/>
      <c r="I342" s="21"/>
      <c r="J342" s="21"/>
      <c r="K342" s="21"/>
      <c r="L342" s="21"/>
      <c r="M342" s="21"/>
      <c r="N342" s="21"/>
      <c r="O342" s="21"/>
      <c r="P342" s="21"/>
      <c r="Q342" s="40"/>
      <c r="R342" s="41" t="s">
        <v>28</v>
      </c>
      <c r="T342" s="41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</row>
    <row r="343" spans="3:37">
      <c r="C343" s="40" t="str">
        <f>IF(OR(F343="",H343=""),"",IF(F343=H343,1,IF(F343&lt;H343,0,IF(F343-H343&lt;10,2,IF(F343&gt;H343,3,SE)))))</f>
        <v/>
      </c>
      <c r="D343" s="21"/>
      <c r="E343" s="21"/>
      <c r="F343" s="22"/>
      <c r="G343" s="23"/>
      <c r="H343" s="22"/>
      <c r="I343" s="21"/>
      <c r="J343" s="21"/>
      <c r="K343" s="21"/>
      <c r="L343" s="21"/>
      <c r="M343" s="21"/>
      <c r="N343" s="21"/>
      <c r="O343" s="21"/>
      <c r="P343" s="21"/>
      <c r="Q343" s="40"/>
      <c r="R343" s="41" t="s">
        <v>29</v>
      </c>
      <c r="S343" s="41"/>
      <c r="T343" s="41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</row>
    <row r="344" spans="3:37">
      <c r="C344" s="40" t="str">
        <f>IF(OR(F344="",H344=""),"",IF(F344=H344,1,IF(F344&lt;H344,0,IF(F344-H344&lt;10,2,IF(F344&gt;H344,3,SE)))))</f>
        <v/>
      </c>
      <c r="D344" s="21"/>
      <c r="E344" s="21"/>
      <c r="F344" s="22"/>
      <c r="G344" s="23"/>
      <c r="H344" s="22"/>
      <c r="I344" s="21"/>
      <c r="J344" s="21"/>
      <c r="K344" s="21"/>
      <c r="L344" s="21"/>
      <c r="M344" s="21"/>
      <c r="N344" s="21"/>
      <c r="O344" s="21"/>
      <c r="P344" s="21"/>
      <c r="Q344" s="40"/>
      <c r="R344" s="41" t="s">
        <v>30</v>
      </c>
      <c r="S344" s="41"/>
      <c r="T344" s="41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</row>
    <row r="345" spans="3:37" ht="15.75" thickBot="1">
      <c r="C345" s="40" t="str">
        <f>IF(OR(F345="",H345=""),"",IF(F345=H345,1,IF(F345&lt;H345,0,IF(F345-H345&lt;10,2,IF(F345&gt;H345,3,SE)))))</f>
        <v/>
      </c>
      <c r="Q345" s="40" t="str">
        <f>IF(OR(H345="",F345=""),"",IF(H345=F345,1,IF(H345&lt;F345,0,IF(H345-F345&lt;10,2,IF(H345&gt;F345,3,SE)))))</f>
        <v/>
      </c>
      <c r="R345" s="41" t="s">
        <v>31</v>
      </c>
      <c r="S345" s="41"/>
      <c r="T345" s="41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</row>
    <row r="346" spans="3:37" ht="15" customHeight="1">
      <c r="C346" s="40" t="str">
        <f>IF(OR(F346="",H346=""),"",IF(F346=H346,1,IF(F346&lt;H346,0,IF(F346-H346&lt;10,2,IF(F346&gt;H346,3,SE)))))</f>
        <v/>
      </c>
      <c r="D346" s="207" t="s">
        <v>169</v>
      </c>
      <c r="E346" s="208"/>
      <c r="F346" s="208"/>
      <c r="G346" s="208"/>
      <c r="H346" s="208"/>
      <c r="I346" s="208"/>
      <c r="J346" s="208"/>
      <c r="K346" s="208"/>
      <c r="L346" s="208"/>
      <c r="M346" s="208"/>
      <c r="N346" s="208"/>
      <c r="O346" s="209"/>
      <c r="Q346" s="40" t="str">
        <f>IF(OR(H346="",F346=""),"",IF(H346=F346,1,IF(H346&lt;F346,0,IF(H346-F346&lt;10,2,IF(H346&gt;F346,3,SE)))))</f>
        <v/>
      </c>
      <c r="R346" s="41" t="s">
        <v>32</v>
      </c>
      <c r="S346" s="41"/>
      <c r="T346" s="41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</row>
    <row r="347" spans="3:37" ht="15.75" customHeight="1" thickBot="1">
      <c r="C347" s="40" t="str">
        <f>IF(OR(F347="",H347=""),"",IF(F347=H347,1,IF(F347&lt;H347,0,IF(F347-H347&lt;10,2,IF(F347&gt;H347,3,SE)))))</f>
        <v/>
      </c>
      <c r="D347" s="210"/>
      <c r="E347" s="211"/>
      <c r="F347" s="211"/>
      <c r="G347" s="211"/>
      <c r="H347" s="211"/>
      <c r="I347" s="211"/>
      <c r="J347" s="211"/>
      <c r="K347" s="211"/>
      <c r="L347" s="211"/>
      <c r="M347" s="211"/>
      <c r="N347" s="211"/>
      <c r="O347" s="212"/>
      <c r="Q347" s="40" t="str">
        <f>IF(OR(H347="",F347=""),"",IF(H347=F347,1,IF(H347&lt;F347,0,IF(H347-F347&lt;10,2,IF(H347&gt;F347,3,SE)))))</f>
        <v/>
      </c>
      <c r="R347" s="41" t="s">
        <v>33</v>
      </c>
      <c r="S347" s="41"/>
      <c r="T347" s="41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</row>
    <row r="348" spans="3:37" ht="15.75" thickBot="1">
      <c r="C348" s="40">
        <f>IF(OR(F348="",H348=""),"",IF(F348=H348,1,IF(F348&lt;H348,0,IF(F348-H348&lt;10,2,IF(F348&gt;H348,3,SE)))))</f>
        <v>0</v>
      </c>
      <c r="D348" s="1" t="s">
        <v>0</v>
      </c>
      <c r="E348" s="2" t="s">
        <v>1</v>
      </c>
      <c r="F348" s="2" t="s">
        <v>21</v>
      </c>
      <c r="G348" s="2" t="s">
        <v>2</v>
      </c>
      <c r="H348" s="2" t="s">
        <v>22</v>
      </c>
      <c r="I348" s="2" t="s">
        <v>23</v>
      </c>
      <c r="J348" s="2" t="s">
        <v>24</v>
      </c>
      <c r="K348" s="2" t="s">
        <v>25</v>
      </c>
      <c r="L348" s="2" t="s">
        <v>27</v>
      </c>
      <c r="M348" s="2" t="s">
        <v>3</v>
      </c>
      <c r="N348" s="2" t="s">
        <v>4</v>
      </c>
      <c r="O348" s="3" t="s">
        <v>26</v>
      </c>
      <c r="Q348" s="40"/>
      <c r="R348" s="41" t="s">
        <v>18</v>
      </c>
      <c r="S348" s="41"/>
      <c r="T348" s="41"/>
      <c r="U348" s="45" t="s">
        <v>0</v>
      </c>
      <c r="V348" s="45" t="s">
        <v>6</v>
      </c>
      <c r="W348" s="45" t="s">
        <v>21</v>
      </c>
      <c r="X348" s="45" t="s">
        <v>2</v>
      </c>
      <c r="Y348" s="45" t="s">
        <v>22</v>
      </c>
      <c r="Z348" s="45" t="s">
        <v>23</v>
      </c>
      <c r="AA348" s="45" t="s">
        <v>24</v>
      </c>
      <c r="AB348" s="45" t="s">
        <v>25</v>
      </c>
      <c r="AC348" s="45" t="s">
        <v>7</v>
      </c>
      <c r="AD348" s="45" t="s">
        <v>8</v>
      </c>
      <c r="AE348" s="45" t="s">
        <v>9</v>
      </c>
      <c r="AF348" s="45" t="s">
        <v>26</v>
      </c>
      <c r="AG348" s="45" t="s">
        <v>10</v>
      </c>
      <c r="AH348" s="45" t="s">
        <v>11</v>
      </c>
      <c r="AI348" s="45" t="s">
        <v>12</v>
      </c>
      <c r="AJ348" s="44"/>
      <c r="AK348" s="44"/>
    </row>
    <row r="349" spans="3:37" ht="15.75" thickBot="1">
      <c r="C349" s="40">
        <f>IF(OR(F349="",H349=""),"",IF(F349=H349,1,IF(F349&lt;H349,0,IF(F349-H349&lt;10,2,IF(F349&gt;H349,3,SE)))))</f>
        <v>2</v>
      </c>
      <c r="D349" s="8" t="s">
        <v>13</v>
      </c>
      <c r="E349" s="9" t="str">
        <f>VLOOKUP(AI349,$U$349:$AH$352,2)</f>
        <v>Guiguizão fc</v>
      </c>
      <c r="F349" s="9">
        <f>VLOOKUP(AI349,$U$349:$AH$352,3)</f>
        <v>3</v>
      </c>
      <c r="G349" s="9">
        <f>VLOOKUP(AI349,$U$349:$AH$352,4)</f>
        <v>8</v>
      </c>
      <c r="H349" s="10">
        <f>VLOOKUP(AI349,$U$349:$AH$352,5)</f>
        <v>2</v>
      </c>
      <c r="I349" s="10">
        <f>VLOOKUP(AI349,$U$349:$AH$352,6)</f>
        <v>1</v>
      </c>
      <c r="J349" s="10">
        <f>VLOOKUP(AI349,$U$349:$AH$352,7)</f>
        <v>0</v>
      </c>
      <c r="K349" s="10">
        <f>VLOOKUP(AI349,$U$349:$AH$352,8)</f>
        <v>0</v>
      </c>
      <c r="L349" s="10">
        <f>VLOOKUP(AI349,$U$349:$AH$352,9)</f>
        <v>161</v>
      </c>
      <c r="M349" s="10">
        <f>VLOOKUP(AI349,$U$349:$AH$352,10)</f>
        <v>121</v>
      </c>
      <c r="N349" s="9">
        <f>VLOOKUP(AI349,$U$349:$AH$352,11)</f>
        <v>40</v>
      </c>
      <c r="O349" s="16">
        <f>VLOOKUP(AI349,$U$349:$AH$352,12)</f>
        <v>0.88888888888888884</v>
      </c>
      <c r="Q349" s="40"/>
      <c r="R349" s="41" t="s">
        <v>34</v>
      </c>
      <c r="S349" s="41"/>
      <c r="T349" s="41"/>
      <c r="U349" s="45">
        <v>1</v>
      </c>
      <c r="V349" s="44" t="str">
        <f>IF(OR('1ª fase'!K66="",'1ª fase'!M66=""),"VENCEDOR J44",IF('1ª fase'!K66&gt;'1ª fase'!M66,'1ª fase'!C66,'1ª fase'!N66))</f>
        <v>Real Tiriça F.C</v>
      </c>
      <c r="W349" s="44">
        <f>COUNT(H357,H364,H370)</f>
        <v>3</v>
      </c>
      <c r="X349" s="44">
        <f>SUM(Q357,Q364,Q370)</f>
        <v>0</v>
      </c>
      <c r="Y349" s="44">
        <f>SUM(COUNTIFS($C$354:$C$370,3,$D$354:$D$370,V349),COUNTIFS($I$354:$I$370,V349,$Q$354:$Q$370,3))</f>
        <v>0</v>
      </c>
      <c r="Z349" s="44">
        <f>SUM(COUNTIFS($C$354:$C$370,2,$D$354:$D$370,V349),COUNTIFS($I$354:$I$370,V349,$Q$354:$Q$370,2))</f>
        <v>0</v>
      </c>
      <c r="AA349" s="44">
        <f>SUM(COUNTIFS($C$354:$C$370,1,$D$354:$D$370,V349),COUNTIFS($I$354:$I$370,V349,$Q$354:$Q$370,1))</f>
        <v>0</v>
      </c>
      <c r="AB349" s="44">
        <f>SUM(COUNTIFS($C$354:$C$370,0,$D$354:$D$370,V349),COUNTIFS($I$354:$I$370,V349,$Q$354:$Q$370,0))</f>
        <v>3</v>
      </c>
      <c r="AC349" s="121">
        <f>SUM(H357,H364,H370)</f>
        <v>122</v>
      </c>
      <c r="AD349" s="121">
        <f>SUM(F357,F364,F370)</f>
        <v>168</v>
      </c>
      <c r="AE349" s="121">
        <f>AC349-AD349</f>
        <v>-46</v>
      </c>
      <c r="AF349" s="121">
        <f>IF(OR($F$101="",$H$101=""),0,(X349/(W349*3)))</f>
        <v>0</v>
      </c>
      <c r="AG349" s="44">
        <f>(X349*10^10)+((AC349+5000)*10^6)+AE349*10+U349</f>
        <v>5121999541</v>
      </c>
      <c r="AH349" s="44">
        <f>LARGE($AG$349:$AG$352,U349)</f>
        <v>85161000404</v>
      </c>
      <c r="AI349" s="90">
        <f>MATCH(AH349,$AG$349:$AG$352,0)</f>
        <v>4</v>
      </c>
      <c r="AJ349" s="44"/>
      <c r="AK349" s="44"/>
    </row>
    <row r="350" spans="3:37" ht="15.75" thickBot="1">
      <c r="C350" s="40">
        <f>IF(OR(F350="",H350=""),"",IF(F350=H350,1,IF(F350&lt;H350,0,IF(F350-H350&lt;10,2,IF(F350&gt;H350,3,SE)))))</f>
        <v>2</v>
      </c>
      <c r="D350" s="11" t="s">
        <v>15</v>
      </c>
      <c r="E350" s="9" t="str">
        <f t="shared" ref="E350:E352" si="177">VLOOKUP(AI350,$U$349:$AH$352,2)</f>
        <v>sucupir@ Dortmund</v>
      </c>
      <c r="F350" s="9">
        <f t="shared" ref="F350:F352" si="178">VLOOKUP(AI350,$U$349:$AH$352,3)</f>
        <v>3</v>
      </c>
      <c r="G350" s="9">
        <f t="shared" ref="G350:G352" si="179">VLOOKUP(AI350,$U$349:$AH$352,4)</f>
        <v>5</v>
      </c>
      <c r="H350" s="10">
        <f t="shared" ref="H350:H352" si="180">VLOOKUP(AI350,$U$349:$AH$352,5)</f>
        <v>1</v>
      </c>
      <c r="I350" s="10">
        <f t="shared" ref="I350:I352" si="181">VLOOKUP(AI350,$U$349:$AH$352,6)</f>
        <v>1</v>
      </c>
      <c r="J350" s="10">
        <f t="shared" ref="J350:J352" si="182">VLOOKUP(AI350,$U$349:$AH$352,7)</f>
        <v>0</v>
      </c>
      <c r="K350" s="10">
        <f t="shared" ref="K350:K352" si="183">VLOOKUP(AI350,$U$349:$AH$352,8)</f>
        <v>1</v>
      </c>
      <c r="L350" s="10">
        <f t="shared" ref="L350:L352" si="184">VLOOKUP(AI350,$U$349:$AH$352,9)</f>
        <v>147</v>
      </c>
      <c r="M350" s="10">
        <f t="shared" ref="M350:M352" si="185">VLOOKUP(AI350,$U$349:$AH$352,10)</f>
        <v>129</v>
      </c>
      <c r="N350" s="9">
        <f t="shared" ref="N350:N352" si="186">VLOOKUP(AI350,$U$349:$AH$352,11)</f>
        <v>18</v>
      </c>
      <c r="O350" s="16">
        <f t="shared" ref="O350:O352" si="187">VLOOKUP(AI350,$U$349:$AH$352,12)</f>
        <v>0.55555555555555558</v>
      </c>
      <c r="Q350" s="40"/>
      <c r="R350" s="46"/>
      <c r="S350" s="41" t="s">
        <v>35</v>
      </c>
      <c r="T350" s="41"/>
      <c r="U350" s="45">
        <v>2</v>
      </c>
      <c r="V350" s="44" t="str">
        <f>IF(OR('1ª fase'!K65="",'1ª fase'!M65=""),"VENCEDOR J43",IF('1ª fase'!K65&gt;'1ª fase'!M65,'1ª fase'!C65,'1ª fase'!N65))</f>
        <v xml:space="preserve">Paris S. Aracanguain </v>
      </c>
      <c r="W350" s="44">
        <f>COUNT(H358,H363,F370)</f>
        <v>3</v>
      </c>
      <c r="X350" s="44">
        <f>SUM(Q358,Q363,C370)</f>
        <v>3</v>
      </c>
      <c r="Y350" s="44">
        <f t="shared" ref="Y350:Y352" si="188">SUM(COUNTIFS($C$354:$C$370,3,$D$354:$D$370,V350),COUNTIFS($I$354:$I$370,V350,$Q$354:$Q$370,3))</f>
        <v>1</v>
      </c>
      <c r="Z350" s="44">
        <f t="shared" ref="Z350:Z352" si="189">SUM(COUNTIFS($C$354:$C$370,2,$D$354:$D$370,V350),COUNTIFS($I$354:$I$370,V350,$Q$354:$Q$370,2))</f>
        <v>0</v>
      </c>
      <c r="AA350" s="44">
        <f t="shared" ref="AA350:AA352" si="190">SUM(COUNTIFS($C$354:$C$370,1,$D$354:$D$370,V350),COUNTIFS($I$354:$I$370,V350,$Q$354:$Q$370,1))</f>
        <v>0</v>
      </c>
      <c r="AB350" s="44">
        <f t="shared" ref="AB350:AB352" si="191">SUM(COUNTIFS($C$354:$C$370,0,$D$354:$D$370,V350),COUNTIFS($I$354:$I$370,V350,$Q$354:$Q$370,0))</f>
        <v>2</v>
      </c>
      <c r="AC350" s="121">
        <f>SUM(H358,H363,F370)</f>
        <v>130</v>
      </c>
      <c r="AD350" s="121">
        <f>SUM(H370,F363,F358)</f>
        <v>142</v>
      </c>
      <c r="AE350" s="121">
        <f t="shared" ref="AE350:AE352" si="192">AC350-AD350</f>
        <v>-12</v>
      </c>
      <c r="AF350" s="121">
        <f t="shared" ref="AF350:AF352" si="193">IF(OR($F$101="",$H$101=""),0,(X350/(W350*3)))</f>
        <v>0.33333333333333331</v>
      </c>
      <c r="AG350" s="44">
        <f t="shared" ref="AG350:AG352" si="194">(X350*10^10)+((AC350+5000)*10^6)+AE350*10+U350</f>
        <v>35129999882</v>
      </c>
      <c r="AH350" s="44">
        <f t="shared" ref="AH350:AH352" si="195">LARGE($AG$349:$AG$352,U350)</f>
        <v>55147000183</v>
      </c>
      <c r="AI350" s="90">
        <f t="shared" ref="AI350:AI352" si="196">MATCH(AH350,$AG$349:$AG$352,0)</f>
        <v>3</v>
      </c>
      <c r="AJ350" s="44"/>
      <c r="AK350" s="44"/>
    </row>
    <row r="351" spans="3:37" ht="15.75" thickBot="1">
      <c r="C351" s="40">
        <f>IF(OR(F351="",H351=""),"",IF(F351=H351,1,IF(F351&lt;H351,0,IF(F351-H351&lt;10,2,IF(F351&gt;H351,3,SE)))))</f>
        <v>2</v>
      </c>
      <c r="D351" s="30" t="s">
        <v>16</v>
      </c>
      <c r="E351" s="34" t="str">
        <f t="shared" si="177"/>
        <v xml:space="preserve">Paris S. Aracanguain </v>
      </c>
      <c r="F351" s="34">
        <f t="shared" si="178"/>
        <v>3</v>
      </c>
      <c r="G351" s="34">
        <f t="shared" si="179"/>
        <v>3</v>
      </c>
      <c r="H351" s="35">
        <f t="shared" si="180"/>
        <v>1</v>
      </c>
      <c r="I351" s="35">
        <f t="shared" si="181"/>
        <v>0</v>
      </c>
      <c r="J351" s="35">
        <f t="shared" si="182"/>
        <v>0</v>
      </c>
      <c r="K351" s="35">
        <f t="shared" si="183"/>
        <v>2</v>
      </c>
      <c r="L351" s="35">
        <f t="shared" si="184"/>
        <v>130</v>
      </c>
      <c r="M351" s="35">
        <f t="shared" si="185"/>
        <v>142</v>
      </c>
      <c r="N351" s="34">
        <f t="shared" si="186"/>
        <v>-12</v>
      </c>
      <c r="O351" s="36">
        <f t="shared" si="187"/>
        <v>0.33333333333333331</v>
      </c>
      <c r="Q351" s="40"/>
      <c r="R351" s="47"/>
      <c r="S351" s="19" t="s">
        <v>38</v>
      </c>
      <c r="T351" s="41"/>
      <c r="U351" s="45">
        <v>3</v>
      </c>
      <c r="V351" s="44" t="str">
        <f>IF(OR('1ª fase'!K64="",'1ª fase'!M64=""),"VENCEDOR J42",IF('1ª fase'!K64&gt;'1ª fase'!M64,'1ª fase'!C64,'1ª fase'!N64))</f>
        <v>sucupir@ Dortmund</v>
      </c>
      <c r="W351" s="44">
        <f>COUNT(H369,F364,F358)</f>
        <v>3</v>
      </c>
      <c r="X351" s="44">
        <f>SUM(C358,C364,Q369)</f>
        <v>5</v>
      </c>
      <c r="Y351" s="44">
        <f t="shared" si="188"/>
        <v>1</v>
      </c>
      <c r="Z351" s="44">
        <f t="shared" si="189"/>
        <v>1</v>
      </c>
      <c r="AA351" s="44">
        <f t="shared" si="190"/>
        <v>0</v>
      </c>
      <c r="AB351" s="44">
        <f t="shared" si="191"/>
        <v>1</v>
      </c>
      <c r="AC351" s="121">
        <f>SUM(H369,F364,F358)</f>
        <v>147</v>
      </c>
      <c r="AD351" s="121">
        <f>SUM(H358,H364,F369)</f>
        <v>129</v>
      </c>
      <c r="AE351" s="121">
        <f t="shared" si="192"/>
        <v>18</v>
      </c>
      <c r="AF351" s="121">
        <f t="shared" si="193"/>
        <v>0.55555555555555558</v>
      </c>
      <c r="AG351" s="44">
        <f t="shared" si="194"/>
        <v>55147000183</v>
      </c>
      <c r="AH351" s="44">
        <f t="shared" si="195"/>
        <v>35129999882</v>
      </c>
      <c r="AI351" s="90">
        <f t="shared" si="196"/>
        <v>2</v>
      </c>
      <c r="AJ351" s="44"/>
      <c r="AK351" s="44"/>
    </row>
    <row r="352" spans="3:37" ht="15.75" thickBot="1">
      <c r="C352" s="40">
        <f>IF(OR(F352="",H352=""),"",IF(F352=H352,1,IF(F352&lt;H352,0,IF(F352-H352&lt;10,2,IF(F352&gt;H352,3,SE)))))</f>
        <v>2</v>
      </c>
      <c r="D352" s="12" t="s">
        <v>17</v>
      </c>
      <c r="E352" s="37" t="str">
        <f t="shared" si="177"/>
        <v>Real Tiriça F.C</v>
      </c>
      <c r="F352" s="37">
        <f t="shared" si="178"/>
        <v>3</v>
      </c>
      <c r="G352" s="37">
        <f t="shared" si="179"/>
        <v>0</v>
      </c>
      <c r="H352" s="38">
        <f t="shared" si="180"/>
        <v>0</v>
      </c>
      <c r="I352" s="38">
        <f t="shared" si="181"/>
        <v>0</v>
      </c>
      <c r="J352" s="38">
        <f t="shared" si="182"/>
        <v>0</v>
      </c>
      <c r="K352" s="38">
        <f t="shared" si="183"/>
        <v>3</v>
      </c>
      <c r="L352" s="38">
        <f t="shared" si="184"/>
        <v>122</v>
      </c>
      <c r="M352" s="38">
        <f t="shared" si="185"/>
        <v>168</v>
      </c>
      <c r="N352" s="37">
        <f t="shared" si="186"/>
        <v>-46</v>
      </c>
      <c r="O352" s="39">
        <f t="shared" si="187"/>
        <v>0</v>
      </c>
      <c r="Q352" s="40"/>
      <c r="R352" s="48"/>
      <c r="S352" s="41" t="s">
        <v>37</v>
      </c>
      <c r="T352" s="41"/>
      <c r="U352" s="45">
        <v>4</v>
      </c>
      <c r="V352" s="44" t="str">
        <f>IF(OR('1ª fase'!K63="",'1ª fase'!M63=""),"VENCEDOR J41",IF('1ª fase'!K63&gt;'1ª fase'!M63,'1ª fase'!C63,'1ª fase'!N63))</f>
        <v>Guiguizão fc</v>
      </c>
      <c r="W352" s="44">
        <f>COUNT(F357,F363,F369)</f>
        <v>3</v>
      </c>
      <c r="X352" s="44">
        <f>SUM(C357,C363,C369)</f>
        <v>8</v>
      </c>
      <c r="Y352" s="44">
        <f t="shared" si="188"/>
        <v>2</v>
      </c>
      <c r="Z352" s="44">
        <f t="shared" si="189"/>
        <v>1</v>
      </c>
      <c r="AA352" s="44">
        <f t="shared" si="190"/>
        <v>0</v>
      </c>
      <c r="AB352" s="44">
        <f t="shared" si="191"/>
        <v>0</v>
      </c>
      <c r="AC352" s="121">
        <f>SUM(F357,F363,F369)</f>
        <v>161</v>
      </c>
      <c r="AD352" s="121">
        <f>SUM(H369,H363,H357)</f>
        <v>121</v>
      </c>
      <c r="AE352" s="121">
        <f t="shared" si="192"/>
        <v>40</v>
      </c>
      <c r="AF352" s="121">
        <f t="shared" si="193"/>
        <v>0.88888888888888884</v>
      </c>
      <c r="AG352" s="44">
        <f t="shared" si="194"/>
        <v>85161000404</v>
      </c>
      <c r="AH352" s="44">
        <f t="shared" si="195"/>
        <v>5121999541</v>
      </c>
      <c r="AI352" s="90">
        <f t="shared" si="196"/>
        <v>1</v>
      </c>
      <c r="AJ352" s="44"/>
      <c r="AK352" s="44"/>
    </row>
    <row r="353" spans="3:37" ht="15.75" thickBot="1">
      <c r="C353" s="40" t="str">
        <f>IF(OR(F353="",H353=""),"",IF(F353=H353,1,IF(F353&lt;H353,0,IF(F353-H353&lt;10,2,IF(F353&gt;H353,3,SE)))))</f>
        <v/>
      </c>
      <c r="Q353" s="40" t="str">
        <f>IF(OR(H353="",F353=""),"",IF(H353=F353,1,IF(H353&lt;F353,0,IF(H353-F353&lt;10,2,IF(H353&gt;F353,3,SE)))))</f>
        <v/>
      </c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</row>
    <row r="354" spans="3:37">
      <c r="C354" s="40" t="str">
        <f>IF(OR(F354="",H354=""),"",IF(F354=H354,1,IF(F354&lt;H354,0,IF(F354-H354&lt;10,2,IF(F354&gt;H354,3,SE)))))</f>
        <v/>
      </c>
      <c r="D354" s="198" t="s">
        <v>160</v>
      </c>
      <c r="E354" s="199"/>
      <c r="F354" s="199"/>
      <c r="G354" s="199"/>
      <c r="H354" s="199"/>
      <c r="I354" s="199"/>
      <c r="J354" s="199"/>
      <c r="K354" s="199"/>
      <c r="L354" s="199"/>
      <c r="M354" s="199"/>
      <c r="N354" s="199"/>
      <c r="O354" s="199"/>
      <c r="P354" s="200"/>
      <c r="Q354" s="40" t="str">
        <f>IF(OR(H354="",F354=""),"",IF(H354=F354,1,IF(H354&lt;F354,0,IF(H354-F354&lt;10,2,IF(H354&gt;F354,3,SE)))))</f>
        <v/>
      </c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</row>
    <row r="355" spans="3:37" ht="15.75" thickBot="1">
      <c r="C355" s="40" t="str">
        <f>IF(OR(F355="",H355=""),"",IF(F355=H355,1,IF(F355&lt;H355,0,IF(F355-H355&lt;10,2,IF(F355&gt;H355,3,SE)))))</f>
        <v/>
      </c>
      <c r="D355" s="204"/>
      <c r="E355" s="205"/>
      <c r="F355" s="205"/>
      <c r="G355" s="205"/>
      <c r="H355" s="205"/>
      <c r="I355" s="205"/>
      <c r="J355" s="205"/>
      <c r="K355" s="205"/>
      <c r="L355" s="205"/>
      <c r="M355" s="205"/>
      <c r="N355" s="205"/>
      <c r="O355" s="205"/>
      <c r="P355" s="206"/>
      <c r="Q355" s="40" t="str">
        <f>IF(OR(H355="",F355=""),"",IF(H355=F355,1,IF(H355&lt;F355,0,IF(H355-F355&lt;10,2,IF(H355&gt;F355,3,SE)))))</f>
        <v/>
      </c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</row>
    <row r="356" spans="3:37">
      <c r="C356" s="40" t="str">
        <f>IF(OR(F356="",H356=""),"",IF(F356=H356,1,IF(F356&lt;H356,0,IF(F356-H356&lt;10,2,IF(F356&gt;H356,3,SE)))))</f>
        <v/>
      </c>
      <c r="Q356" s="40" t="str">
        <f>IF(OR(H356="",F356=""),"",IF(H356=F356,1,IF(H356&lt;F356,0,IF(H356-F356&lt;10,2,IF(H356&gt;F356,3,SE)))))</f>
        <v/>
      </c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</row>
    <row r="357" spans="3:37">
      <c r="C357" s="40">
        <f>IF(OR(F357="",H357=""),"",IF(F357=H357,1,IF(F357&lt;H357,0,IF(F357-H357&lt;10,2,IF(F357&gt;H357,3,SE)))))</f>
        <v>3</v>
      </c>
      <c r="D357" s="197" t="str">
        <f>V352</f>
        <v>Guiguizão fc</v>
      </c>
      <c r="E357" s="197"/>
      <c r="F357" s="141">
        <v>60</v>
      </c>
      <c r="G357" s="17" t="s">
        <v>19</v>
      </c>
      <c r="H357" s="140">
        <v>42</v>
      </c>
      <c r="I357" s="197" t="str">
        <f>V349</f>
        <v>Real Tiriça F.C</v>
      </c>
      <c r="J357" s="197"/>
      <c r="K357" s="197"/>
      <c r="L357" s="197"/>
      <c r="M357" s="197"/>
      <c r="N357" s="197"/>
      <c r="O357" s="197"/>
      <c r="P357" s="197"/>
      <c r="Q357" s="40">
        <f>IF(OR(H357="",F357=""),"",IF(H357=F357,1,IF(H357&lt;F357,0,IF(H357-F357&lt;10,2,IF(H357&gt;F357,3,SE)))))</f>
        <v>0</v>
      </c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</row>
    <row r="358" spans="3:37">
      <c r="C358" s="40">
        <f>IF(OR(F358="",H358=""),"",IF(F358=H358,1,IF(F358&lt;H358,0,IF(F358-H358&lt;10,2,IF(F358&gt;H358,3,SE)))))</f>
        <v>3</v>
      </c>
      <c r="D358" s="197" t="str">
        <f>V351</f>
        <v>sucupir@ Dortmund</v>
      </c>
      <c r="E358" s="197"/>
      <c r="F358" s="141">
        <v>51</v>
      </c>
      <c r="G358" s="17" t="s">
        <v>19</v>
      </c>
      <c r="H358" s="140">
        <v>39</v>
      </c>
      <c r="I358" s="197" t="str">
        <f>V350</f>
        <v xml:space="preserve">Paris S. Aracanguain </v>
      </c>
      <c r="J358" s="197"/>
      <c r="K358" s="197"/>
      <c r="L358" s="197"/>
      <c r="M358" s="197"/>
      <c r="N358" s="197"/>
      <c r="O358" s="197"/>
      <c r="P358" s="197"/>
      <c r="Q358" s="40">
        <f>IF(OR(H358="",F358=""),"",IF(H358=F358,1,IF(H358&lt;F358,0,IF(H358-F358&lt;10,2,IF(H358&gt;F358,3,SE)))))</f>
        <v>0</v>
      </c>
      <c r="R358" s="41"/>
      <c r="S358" s="41"/>
      <c r="T358" s="41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</row>
    <row r="359" spans="3:37" ht="15.75" thickBot="1">
      <c r="C359" s="40" t="str">
        <f>IF(OR(F359="",H359=""),"",IF(F359=H359,1,IF(F359&lt;H359,0,IF(F359-H359&lt;10,2,IF(F359&gt;H359,3,SE)))))</f>
        <v/>
      </c>
      <c r="Q359" s="40" t="str">
        <f>IF(OR(H359="",F359=""),"",IF(H359=F359,1,IF(H359&lt;F359,0,IF(H359-F359&lt;10,2,IF(H359&gt;F359,3,SE)))))</f>
        <v/>
      </c>
      <c r="R359" s="41"/>
      <c r="S359" s="41"/>
      <c r="T359" s="41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</row>
    <row r="360" spans="3:37">
      <c r="C360" s="40" t="str">
        <f>IF(OR(F360="",H360=""),"",IF(F360=H360,1,IF(F360&lt;H360,0,IF(F360-H360&lt;10,2,IF(F360&gt;H360,3,SE)))))</f>
        <v/>
      </c>
      <c r="D360" s="207" t="s">
        <v>161</v>
      </c>
      <c r="E360" s="208"/>
      <c r="F360" s="208"/>
      <c r="G360" s="208"/>
      <c r="H360" s="208"/>
      <c r="I360" s="208"/>
      <c r="J360" s="208"/>
      <c r="K360" s="208"/>
      <c r="L360" s="208"/>
      <c r="M360" s="208"/>
      <c r="N360" s="208"/>
      <c r="O360" s="208"/>
      <c r="P360" s="209"/>
      <c r="Q360" s="40" t="str">
        <f>IF(OR(H360="",F360=""),"",IF(H360=F360,1,IF(H360&lt;F360,0,IF(H360-F360&lt;10,2,IF(H360&gt;F360,3,SE)))))</f>
        <v/>
      </c>
      <c r="R360" s="41"/>
      <c r="S360" s="41"/>
      <c r="T360" s="41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</row>
    <row r="361" spans="3:37" ht="15.75" thickBot="1">
      <c r="C361" s="40" t="str">
        <f>IF(OR(F361="",H361=""),"",IF(F361=H361,1,IF(F361&lt;H361,0,IF(F361-H361&lt;10,2,IF(F361&gt;H361,3,SE)))))</f>
        <v/>
      </c>
      <c r="D361" s="210"/>
      <c r="E361" s="211"/>
      <c r="F361" s="211"/>
      <c r="G361" s="211"/>
      <c r="H361" s="211"/>
      <c r="I361" s="211"/>
      <c r="J361" s="211"/>
      <c r="K361" s="211"/>
      <c r="L361" s="211"/>
      <c r="M361" s="211"/>
      <c r="N361" s="211"/>
      <c r="O361" s="211"/>
      <c r="P361" s="212"/>
      <c r="Q361" s="40" t="str">
        <f>IF(OR(H361="",F361=""),"",IF(H361=F361,1,IF(H361&lt;F361,0,IF(H361-F361&lt;10,2,IF(H361&gt;F361,3,SE)))))</f>
        <v/>
      </c>
      <c r="R361" s="41"/>
      <c r="S361" s="41"/>
      <c r="T361" s="41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</row>
    <row r="362" spans="3:37">
      <c r="C362" s="40" t="str">
        <f>IF(OR(F362="",H362=""),"",IF(F362=H362,1,IF(F362&lt;H362,0,IF(F362-H362&lt;10,2,IF(F362&gt;H362,3,SE)))))</f>
        <v/>
      </c>
      <c r="Q362" s="40" t="str">
        <f>IF(OR(H362="",F362=""),"",IF(H362=F362,1,IF(H362&lt;F362,0,IF(H362-F362&lt;10,2,IF(H362&gt;F362,3,SE)))))</f>
        <v/>
      </c>
      <c r="R362" s="41"/>
      <c r="S362" s="41"/>
      <c r="T362" s="41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</row>
    <row r="363" spans="3:37">
      <c r="C363" s="40">
        <f>IF(OR(F363="",H363=""),"",IF(F363=H363,1,IF(F363&lt;H363,0,IF(F363-H363&lt;10,2,IF(F363&gt;H363,3,SE)))))</f>
        <v>3</v>
      </c>
      <c r="D363" s="197" t="str">
        <f>V352</f>
        <v>Guiguizão fc</v>
      </c>
      <c r="E363" s="197"/>
      <c r="F363" s="141">
        <v>65</v>
      </c>
      <c r="G363" s="18" t="s">
        <v>19</v>
      </c>
      <c r="H363" s="140">
        <v>46</v>
      </c>
      <c r="I363" s="197" t="str">
        <f>V350</f>
        <v xml:space="preserve">Paris S. Aracanguain </v>
      </c>
      <c r="J363" s="197"/>
      <c r="K363" s="197"/>
      <c r="L363" s="197"/>
      <c r="M363" s="197"/>
      <c r="N363" s="197"/>
      <c r="O363" s="197"/>
      <c r="P363" s="197"/>
      <c r="Q363" s="40">
        <f>IF(OR(H363="",F363=""),"",IF(H363=F363,1,IF(H363&lt;F363,0,IF(H363-F363&lt;10,2,IF(H363&gt;F363,3,SE)))))</f>
        <v>0</v>
      </c>
      <c r="R363" s="41"/>
      <c r="S363" s="41"/>
      <c r="T363" s="41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</row>
    <row r="364" spans="3:37">
      <c r="C364" s="40">
        <f>IF(OR(F364="",H364=""),"",IF(F364=H364,1,IF(F364&lt;H364,0,IF(F364-H364&lt;10,2,IF(F364&gt;H364,3,SE)))))</f>
        <v>2</v>
      </c>
      <c r="D364" s="197" t="str">
        <f>V351</f>
        <v>sucupir@ Dortmund</v>
      </c>
      <c r="E364" s="197"/>
      <c r="F364" s="141">
        <v>63</v>
      </c>
      <c r="G364" s="18" t="s">
        <v>19</v>
      </c>
      <c r="H364" s="140">
        <v>54</v>
      </c>
      <c r="I364" s="197" t="str">
        <f>V349</f>
        <v>Real Tiriça F.C</v>
      </c>
      <c r="J364" s="197"/>
      <c r="K364" s="197"/>
      <c r="L364" s="197"/>
      <c r="M364" s="197"/>
      <c r="N364" s="197"/>
      <c r="O364" s="197"/>
      <c r="P364" s="197"/>
      <c r="Q364" s="40">
        <f>IF(OR(H364="",F364=""),"",IF(H364=F364,1,IF(H364&lt;F364,0,IF(H364-F364&lt;10,2,IF(H364&gt;F364,3,SE)))))</f>
        <v>0</v>
      </c>
      <c r="R364" s="41"/>
      <c r="S364" s="41"/>
      <c r="T364" s="41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</row>
    <row r="365" spans="3:37" ht="15.75" thickBot="1">
      <c r="C365" s="40" t="str">
        <f>IF(OR(F365="",H365=""),"",IF(F365=H365,1,IF(F365&lt;H365,0,IF(F365-H365&lt;10,2,IF(F365&gt;H365,3,SE)))))</f>
        <v/>
      </c>
      <c r="F365" s="20"/>
      <c r="Q365" s="40" t="str">
        <f>IF(OR(H365="",F365=""),"",IF(H365=F365,1,IF(H365&lt;F365,0,IF(H365-F365&lt;10,2,IF(H365&gt;F365,3,SE)))))</f>
        <v/>
      </c>
      <c r="R365" s="41"/>
      <c r="S365" s="41"/>
      <c r="T365" s="41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</row>
    <row r="366" spans="3:37">
      <c r="C366" s="40" t="str">
        <f>IF(OR(F366="",H366=""),"",IF(F366=H366,1,IF(F366&lt;H366,0,IF(F366-H366&lt;10,2,IF(F366&gt;H366,3,SE)))))</f>
        <v/>
      </c>
      <c r="D366" s="207" t="s">
        <v>162</v>
      </c>
      <c r="E366" s="208"/>
      <c r="F366" s="208"/>
      <c r="G366" s="208"/>
      <c r="H366" s="208"/>
      <c r="I366" s="208"/>
      <c r="J366" s="208"/>
      <c r="K366" s="208"/>
      <c r="L366" s="208"/>
      <c r="M366" s="208"/>
      <c r="N366" s="208"/>
      <c r="O366" s="208"/>
      <c r="P366" s="209"/>
      <c r="Q366" s="40" t="str">
        <f>IF(OR(H366="",F366=""),"",IF(H366=F366,1,IF(H366&lt;F366,0,IF(H366-F366&lt;10,2,IF(H366&gt;F366,3,SE)))))</f>
        <v/>
      </c>
      <c r="R366" s="41"/>
      <c r="S366" s="41"/>
      <c r="T366" s="41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</row>
    <row r="367" spans="3:37" ht="15.75" thickBot="1">
      <c r="C367" s="40" t="str">
        <f>IF(OR(F367="",H367=""),"",IF(F367=H367,1,IF(F367&lt;H367,0,IF(F367-H367&lt;10,2,IF(F367&gt;H367,3,SE)))))</f>
        <v/>
      </c>
      <c r="D367" s="210"/>
      <c r="E367" s="211"/>
      <c r="F367" s="211"/>
      <c r="G367" s="211"/>
      <c r="H367" s="211"/>
      <c r="I367" s="211"/>
      <c r="J367" s="211"/>
      <c r="K367" s="211"/>
      <c r="L367" s="211"/>
      <c r="M367" s="211"/>
      <c r="N367" s="211"/>
      <c r="O367" s="211"/>
      <c r="P367" s="212"/>
      <c r="Q367" s="40" t="str">
        <f>IF(OR(H367="",F367=""),"",IF(H367=F367,1,IF(H367&lt;F367,0,IF(H367-F367&lt;10,2,IF(H367&gt;F367,3,SE)))))</f>
        <v/>
      </c>
      <c r="R367" s="41"/>
      <c r="S367" s="41"/>
      <c r="T367" s="41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</row>
    <row r="368" spans="3:37">
      <c r="C368" s="40" t="str">
        <f>IF(OR(F368="",H368=""),"",IF(F368=H368,1,IF(F368&lt;H368,0,IF(F368-H368&lt;10,2,IF(F368&gt;H368,3,SE)))))</f>
        <v/>
      </c>
      <c r="Q368" s="40" t="str">
        <f>IF(OR(H368="",F368=""),"",IF(H368=F368,1,IF(H368&lt;F368,0,IF(H368-F368&lt;10,2,IF(H368&gt;F368,3,SE)))))</f>
        <v/>
      </c>
      <c r="R368" s="41"/>
      <c r="S368" s="41"/>
      <c r="T368" s="41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</row>
    <row r="369" spans="3:37">
      <c r="C369" s="40">
        <f>IF(OR(F369="",H369=""),"",IF(F369=H369,1,IF(F369&lt;H369,0,IF(F369-H369&lt;10,2,IF(F369&gt;H369,3,SE)))))</f>
        <v>2</v>
      </c>
      <c r="D369" s="197" t="str">
        <f>V352</f>
        <v>Guiguizão fc</v>
      </c>
      <c r="E369" s="197"/>
      <c r="F369" s="141">
        <v>36</v>
      </c>
      <c r="G369" s="18" t="s">
        <v>19</v>
      </c>
      <c r="H369" s="140">
        <v>33</v>
      </c>
      <c r="I369" s="197" t="str">
        <f>V351</f>
        <v>sucupir@ Dortmund</v>
      </c>
      <c r="J369" s="197"/>
      <c r="K369" s="197"/>
      <c r="L369" s="197"/>
      <c r="M369" s="197"/>
      <c r="N369" s="197"/>
      <c r="O369" s="197"/>
      <c r="P369" s="197"/>
      <c r="Q369" s="40">
        <f>IF(OR(H369="",F369=""),"",IF(H369=F369,1,IF(H369&lt;F369,0,IF(H369-F369&lt;10,2,IF(H369&gt;F369,3,SE)))))</f>
        <v>0</v>
      </c>
      <c r="R369" s="41"/>
      <c r="S369" s="41"/>
      <c r="T369" s="41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</row>
    <row r="370" spans="3:37">
      <c r="C370" s="40">
        <f>IF(OR(F370="",H370=""),"",IF(F370=H370,1,IF(F370&lt;H370,0,IF(F370-H370&lt;10,2,IF(F370&gt;H370,3,SE)))))</f>
        <v>3</v>
      </c>
      <c r="D370" s="197" t="str">
        <f>V350</f>
        <v xml:space="preserve">Paris S. Aracanguain </v>
      </c>
      <c r="E370" s="197"/>
      <c r="F370" s="141">
        <v>45</v>
      </c>
      <c r="G370" s="18" t="s">
        <v>19</v>
      </c>
      <c r="H370" s="140">
        <v>26</v>
      </c>
      <c r="I370" s="197" t="str">
        <f>V349</f>
        <v>Real Tiriça F.C</v>
      </c>
      <c r="J370" s="197"/>
      <c r="K370" s="197"/>
      <c r="L370" s="197"/>
      <c r="M370" s="197"/>
      <c r="N370" s="197"/>
      <c r="O370" s="197"/>
      <c r="P370" s="197"/>
      <c r="Q370" s="40">
        <f>IF(OR(H370="",F370=""),"",IF(H370=F370,1,IF(H370&lt;F370,0,IF(H370-F370&lt;10,2,IF(H370&gt;F370,3,SE)))))</f>
        <v>0</v>
      </c>
      <c r="R370" s="41"/>
      <c r="S370" s="41"/>
      <c r="T370" s="41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</row>
    <row r="371" spans="3:37">
      <c r="C371" s="40" t="str">
        <f>IF(OR(F371="",H371=""),"",IF(F371=H371,1,IF(F371&lt;H371,0,IF(F371-H371&lt;10,2,IF(F371&gt;H371,3,SE)))))</f>
        <v/>
      </c>
      <c r="Q371" s="40" t="str">
        <f>IF(OR(H371="",F371=""),"",IF(H371=F371,1,IF(H371&lt;F371,0,IF(H371-F371&lt;10,2,IF(H371&gt;F371,3,SE)))))</f>
        <v/>
      </c>
      <c r="R371" s="41"/>
      <c r="S371" s="41"/>
      <c r="T371" s="41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</row>
    <row r="372" spans="3:37">
      <c r="C372" s="40" t="str">
        <f>IF(OR(F372="",H372=""),"",IF(F372=H372,1,IF(F372&lt;H372,0,IF(F372-H372&lt;10,2,IF(F372&gt;H372,3,SE)))))</f>
        <v/>
      </c>
      <c r="D372" s="21"/>
      <c r="E372" s="21"/>
      <c r="F372" s="22"/>
      <c r="G372" s="23"/>
      <c r="H372" s="22"/>
      <c r="I372" s="21"/>
      <c r="J372" s="21"/>
      <c r="K372" s="21"/>
      <c r="L372" s="21"/>
      <c r="M372" s="21"/>
      <c r="N372" s="21"/>
      <c r="O372" s="21"/>
      <c r="P372" s="21"/>
      <c r="Q372" s="40"/>
      <c r="R372" s="41" t="s">
        <v>5</v>
      </c>
      <c r="S372" s="43"/>
      <c r="T372" s="41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</row>
    <row r="373" spans="3:37">
      <c r="C373" s="40" t="str">
        <f>IF(OR(F373="",H373=""),"",IF(F373=H373,1,IF(F373&lt;H373,0,IF(F373-H373&lt;10,2,IF(F373&gt;H373,3,SE)))))</f>
        <v/>
      </c>
      <c r="D373" s="21"/>
      <c r="E373" s="21"/>
      <c r="F373" s="22"/>
      <c r="G373" s="23"/>
      <c r="H373" s="22"/>
      <c r="I373" s="21"/>
      <c r="J373" s="21"/>
      <c r="K373" s="21"/>
      <c r="L373" s="21"/>
      <c r="M373" s="21"/>
      <c r="N373" s="21"/>
      <c r="O373" s="21"/>
      <c r="P373" s="21"/>
      <c r="Q373" s="40"/>
      <c r="R373" s="41" t="s">
        <v>14</v>
      </c>
      <c r="S373" s="43"/>
      <c r="T373" s="41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</row>
    <row r="374" spans="3:37">
      <c r="C374" s="40" t="str">
        <f>IF(OR(F374="",H374=""),"",IF(F374=H374,1,IF(F374&lt;H374,0,IF(F374-H374&lt;10,2,IF(F374&gt;H374,3,SE)))))</f>
        <v/>
      </c>
      <c r="D374" s="21"/>
      <c r="E374" s="21"/>
      <c r="F374" s="22"/>
      <c r="G374" s="23"/>
      <c r="H374" s="22"/>
      <c r="I374" s="21"/>
      <c r="J374" s="21"/>
      <c r="K374" s="21"/>
      <c r="L374" s="21"/>
      <c r="M374" s="21"/>
      <c r="N374" s="21"/>
      <c r="O374" s="21"/>
      <c r="P374" s="21"/>
      <c r="Q374" s="40"/>
      <c r="R374" s="41" t="s">
        <v>28</v>
      </c>
      <c r="T374" s="41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</row>
    <row r="375" spans="3:37">
      <c r="C375" s="40" t="str">
        <f>IF(OR(F375="",H375=""),"",IF(F375=H375,1,IF(F375&lt;H375,0,IF(F375-H375&lt;10,2,IF(F375&gt;H375,3,SE)))))</f>
        <v/>
      </c>
      <c r="D375" s="21"/>
      <c r="E375" s="21"/>
      <c r="F375" s="22"/>
      <c r="G375" s="23"/>
      <c r="H375" s="22"/>
      <c r="I375" s="21"/>
      <c r="J375" s="21"/>
      <c r="K375" s="21"/>
      <c r="L375" s="21"/>
      <c r="M375" s="21"/>
      <c r="N375" s="21"/>
      <c r="O375" s="21"/>
      <c r="P375" s="21"/>
      <c r="Q375" s="40"/>
      <c r="R375" s="41" t="s">
        <v>29</v>
      </c>
      <c r="S375" s="41"/>
      <c r="T375" s="41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</row>
    <row r="376" spans="3:37">
      <c r="C376" s="40" t="str">
        <f>IF(OR(F376="",H376=""),"",IF(F376=H376,1,IF(F376&lt;H376,0,IF(F376-H376&lt;10,2,IF(F376&gt;H376,3,SE)))))</f>
        <v/>
      </c>
      <c r="D376" s="21"/>
      <c r="E376" s="21"/>
      <c r="F376" s="22"/>
      <c r="G376" s="23"/>
      <c r="H376" s="22"/>
      <c r="I376" s="21"/>
      <c r="J376" s="21"/>
      <c r="K376" s="21"/>
      <c r="L376" s="21"/>
      <c r="M376" s="21"/>
      <c r="N376" s="21"/>
      <c r="O376" s="21"/>
      <c r="P376" s="21"/>
      <c r="Q376" s="40"/>
      <c r="R376" s="41" t="s">
        <v>30</v>
      </c>
      <c r="S376" s="41"/>
      <c r="T376" s="41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</row>
    <row r="377" spans="3:37" ht="15.75" thickBot="1">
      <c r="C377" s="40" t="str">
        <f>IF(OR(F377="",H377=""),"",IF(F377=H377,1,IF(F377&lt;H377,0,IF(F377-H377&lt;10,2,IF(F377&gt;H377,3,SE)))))</f>
        <v/>
      </c>
      <c r="Q377" s="40" t="str">
        <f>IF(OR(H377="",F377=""),"",IF(H377=F377,1,IF(H377&lt;F377,0,IF(H377-F377&lt;10,2,IF(H377&gt;F377,3,SE)))))</f>
        <v/>
      </c>
      <c r="R377" s="41" t="s">
        <v>31</v>
      </c>
      <c r="S377" s="41"/>
      <c r="T377" s="41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</row>
    <row r="378" spans="3:37" ht="15" customHeight="1">
      <c r="C378" s="40" t="str">
        <f>IF(OR(F378="",H378=""),"",IF(F378=H378,1,IF(F378&lt;H378,0,IF(F378-H378&lt;10,2,IF(F378&gt;H378,3,SE)))))</f>
        <v/>
      </c>
      <c r="D378" s="207" t="s">
        <v>170</v>
      </c>
      <c r="E378" s="208"/>
      <c r="F378" s="208"/>
      <c r="G378" s="208"/>
      <c r="H378" s="208"/>
      <c r="I378" s="208"/>
      <c r="J378" s="208"/>
      <c r="K378" s="208"/>
      <c r="L378" s="208"/>
      <c r="M378" s="208"/>
      <c r="N378" s="208"/>
      <c r="O378" s="209"/>
      <c r="Q378" s="40" t="str">
        <f>IF(OR(H378="",F378=""),"",IF(H378=F378,1,IF(H378&lt;F378,0,IF(H378-F378&lt;10,2,IF(H378&gt;F378,3,SE)))))</f>
        <v/>
      </c>
      <c r="R378" s="41" t="s">
        <v>32</v>
      </c>
      <c r="S378" s="41"/>
      <c r="T378" s="41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</row>
    <row r="379" spans="3:37" ht="15.75" customHeight="1" thickBot="1">
      <c r="C379" s="40" t="str">
        <f>IF(OR(F379="",H379=""),"",IF(F379=H379,1,IF(F379&lt;H379,0,IF(F379-H379&lt;10,2,IF(F379&gt;H379,3,SE)))))</f>
        <v/>
      </c>
      <c r="D379" s="210"/>
      <c r="E379" s="211"/>
      <c r="F379" s="211"/>
      <c r="G379" s="211"/>
      <c r="H379" s="211"/>
      <c r="I379" s="211"/>
      <c r="J379" s="211"/>
      <c r="K379" s="211"/>
      <c r="L379" s="211"/>
      <c r="M379" s="211"/>
      <c r="N379" s="211"/>
      <c r="O379" s="212"/>
      <c r="Q379" s="40" t="str">
        <f>IF(OR(H379="",F379=""),"",IF(H379=F379,1,IF(H379&lt;F379,0,IF(H379-F379&lt;10,2,IF(H379&gt;F379,3,SE)))))</f>
        <v/>
      </c>
      <c r="R379" s="41" t="s">
        <v>33</v>
      </c>
      <c r="S379" s="41"/>
      <c r="T379" s="40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</row>
    <row r="380" spans="3:37" ht="15.75" thickBot="1">
      <c r="C380" s="40">
        <f>IF(OR(F380="",H380=""),"",IF(F380=H380,1,IF(F380&lt;H380,0,IF(F380-H380&lt;10,2,IF(F380&gt;H380,3,SE)))))</f>
        <v>0</v>
      </c>
      <c r="D380" s="1" t="s">
        <v>0</v>
      </c>
      <c r="E380" s="2" t="s">
        <v>1</v>
      </c>
      <c r="F380" s="2" t="s">
        <v>21</v>
      </c>
      <c r="G380" s="2" t="s">
        <v>2</v>
      </c>
      <c r="H380" s="2" t="s">
        <v>22</v>
      </c>
      <c r="I380" s="2" t="s">
        <v>23</v>
      </c>
      <c r="J380" s="2" t="s">
        <v>24</v>
      </c>
      <c r="K380" s="2" t="s">
        <v>25</v>
      </c>
      <c r="L380" s="2" t="s">
        <v>27</v>
      </c>
      <c r="M380" s="2" t="s">
        <v>3</v>
      </c>
      <c r="N380" s="2" t="s">
        <v>4</v>
      </c>
      <c r="O380" s="3" t="s">
        <v>26</v>
      </c>
      <c r="Q380" s="40"/>
      <c r="R380" s="41" t="s">
        <v>18</v>
      </c>
      <c r="S380" s="41"/>
      <c r="T380" s="40"/>
      <c r="U380" s="45" t="s">
        <v>0</v>
      </c>
      <c r="V380" s="45" t="s">
        <v>6</v>
      </c>
      <c r="W380" s="45" t="s">
        <v>21</v>
      </c>
      <c r="X380" s="45" t="s">
        <v>2</v>
      </c>
      <c r="Y380" s="45" t="s">
        <v>22</v>
      </c>
      <c r="Z380" s="45" t="s">
        <v>23</v>
      </c>
      <c r="AA380" s="45" t="s">
        <v>24</v>
      </c>
      <c r="AB380" s="45" t="s">
        <v>25</v>
      </c>
      <c r="AC380" s="45" t="s">
        <v>7</v>
      </c>
      <c r="AD380" s="45" t="s">
        <v>8</v>
      </c>
      <c r="AE380" s="45" t="s">
        <v>9</v>
      </c>
      <c r="AF380" s="45" t="s">
        <v>26</v>
      </c>
      <c r="AG380" s="45" t="s">
        <v>10</v>
      </c>
      <c r="AH380" s="45" t="s">
        <v>11</v>
      </c>
      <c r="AI380" s="45" t="s">
        <v>12</v>
      </c>
      <c r="AJ380" s="44"/>
      <c r="AK380" s="44"/>
    </row>
    <row r="381" spans="3:37" ht="15.75" thickBot="1">
      <c r="C381" s="40">
        <f>IF(OR(F381="",H381=""),"",IF(F381=H381,1,IF(F381&lt;H381,0,IF(F381-H381&lt;10,2,IF(F381&gt;H381,3,SE)))))</f>
        <v>2</v>
      </c>
      <c r="D381" s="8" t="s">
        <v>13</v>
      </c>
      <c r="E381" s="9" t="str">
        <f>VLOOKUP(AI381,$U$381:$AH$384,2)</f>
        <v>Galaticos  Alves FC</v>
      </c>
      <c r="F381" s="9">
        <f>VLOOKUP(AI381,$U$381:$AH$384,3)</f>
        <v>3</v>
      </c>
      <c r="G381" s="9">
        <f>VLOOKUP(AI381,$U$381:$AH$384,4)</f>
        <v>8</v>
      </c>
      <c r="H381" s="10">
        <f>VLOOKUP(AI381,$U$381:$AH$384,5)</f>
        <v>2</v>
      </c>
      <c r="I381" s="10">
        <f>VLOOKUP(AI381,$U$381:$AH$384,6)</f>
        <v>1</v>
      </c>
      <c r="J381" s="10">
        <f>VLOOKUP(AI381,$U$381:$AH$384,7)</f>
        <v>0</v>
      </c>
      <c r="K381" s="10">
        <f>VLOOKUP(AI381,$U$381:$AH$384,8)</f>
        <v>0</v>
      </c>
      <c r="L381" s="10">
        <f>VLOOKUP(AI381,$U$381:$AH$384,9)</f>
        <v>160</v>
      </c>
      <c r="M381" s="10">
        <f>VLOOKUP(AI381,$U$381:$AH$384,10)</f>
        <v>114</v>
      </c>
      <c r="N381" s="9">
        <f>VLOOKUP(AI381,$U$381:$AH$384,11)</f>
        <v>46</v>
      </c>
      <c r="O381" s="16">
        <f>VLOOKUP(AI381,$U$381:$AH$384,12)</f>
        <v>0.88888888888888884</v>
      </c>
      <c r="Q381" s="40"/>
      <c r="R381" s="41" t="s">
        <v>34</v>
      </c>
      <c r="S381" s="41"/>
      <c r="T381" s="40"/>
      <c r="U381" s="45">
        <v>1</v>
      </c>
      <c r="V381" s="44" t="str">
        <f>IF(OR('1ª fase'!K70="",'1ª fase'!M70=""),"VENCEDOR J48",IF('1ª fase'!K70&gt;'1ª fase'!M70,'1ª fase'!C70,'1ª fase'!N70))</f>
        <v>Maldry F.C</v>
      </c>
      <c r="W381" s="44">
        <f>COUNT(H389,H396,H402)</f>
        <v>3</v>
      </c>
      <c r="X381" s="44">
        <f>SUM(Q389,Q396,Q402)</f>
        <v>3</v>
      </c>
      <c r="Y381" s="44">
        <f>SUM(COUNTIFS($C$386:$C$402,3,$D$386:$D$402,V381),COUNTIFS($I$386:$I$402,V381,$Q$386:$Q$402,3))</f>
        <v>1</v>
      </c>
      <c r="Z381" s="44">
        <f>SUM(COUNTIFS($C$386:$C$402,2,$D$386:$D$402,V381),COUNTIFS($I$386:$I$402,V381,$Q$386:$Q$402,2))</f>
        <v>0</v>
      </c>
      <c r="AA381" s="44">
        <f>SUM(COUNTIFS($C$386:$C$402,1,$D$386:$D$402,V381),COUNTIFS($I$386:$I$402,V381,$Q$386:$Q$402,1))</f>
        <v>0</v>
      </c>
      <c r="AB381" s="44">
        <f>SUM(COUNTIFS($C$386:$C$402,0,$D$386:$D$402,V381),COUNTIFS($I$386:$I$402,V381,$Q$386:$Q$402,0))</f>
        <v>2</v>
      </c>
      <c r="AC381" s="121">
        <f>SUM(H389,H396,H402)</f>
        <v>155</v>
      </c>
      <c r="AD381" s="121">
        <f>SUM(F389,F396,F402)</f>
        <v>139</v>
      </c>
      <c r="AE381" s="121">
        <f>AC381-AD381</f>
        <v>16</v>
      </c>
      <c r="AF381" s="121">
        <f>IF(OR($F$133="",$H$133=""),0,(X381/(W381*3)))</f>
        <v>0.33333333333333331</v>
      </c>
      <c r="AG381" s="44">
        <f>(X381*10^15)+((AC381+5000)*10^6)+AE381*10+U381</f>
        <v>3000005155000161</v>
      </c>
      <c r="AH381" s="44">
        <f>LARGE($AG$381:$AG$384,U381)</f>
        <v>8000005160000462</v>
      </c>
      <c r="AI381" s="90">
        <f>MATCH(AH381,$AG$381:$AG$384,0)</f>
        <v>2</v>
      </c>
      <c r="AJ381" s="44"/>
      <c r="AK381" s="44"/>
    </row>
    <row r="382" spans="3:37" ht="15.75" thickBot="1">
      <c r="C382" s="40">
        <f>IF(OR(F382="",H382=""),"",IF(F382=H382,1,IF(F382&lt;H382,0,IF(F382-H382&lt;10,2,IF(F382&gt;H382,3,SE)))))</f>
        <v>2</v>
      </c>
      <c r="D382" s="11" t="s">
        <v>15</v>
      </c>
      <c r="E382" s="91" t="str">
        <f t="shared" ref="E382:E384" si="197">VLOOKUP(AI382,$U$381:$AH$384,2)</f>
        <v>Bóia de Munique FC</v>
      </c>
      <c r="F382" s="91">
        <f t="shared" ref="F382:F384" si="198">VLOOKUP(AI382,$U$381:$AH$384,3)</f>
        <v>3</v>
      </c>
      <c r="G382" s="91">
        <f t="shared" ref="G382:G384" si="199">VLOOKUP(AI382,$U$381:$AH$384,4)</f>
        <v>5</v>
      </c>
      <c r="H382" s="92">
        <f t="shared" ref="H382:H384" si="200">VLOOKUP(AI382,$U$381:$AH$384,5)</f>
        <v>1</v>
      </c>
      <c r="I382" s="92">
        <f t="shared" ref="I382:I384" si="201">VLOOKUP(AI382,$U$381:$AH$384,6)</f>
        <v>1</v>
      </c>
      <c r="J382" s="92">
        <f t="shared" ref="J382:J384" si="202">VLOOKUP(AI382,$U$381:$AH$384,7)</f>
        <v>0</v>
      </c>
      <c r="K382" s="92">
        <f t="shared" ref="K382:K384" si="203">VLOOKUP(AI382,$U$381:$AH$384,8)</f>
        <v>1</v>
      </c>
      <c r="L382" s="92">
        <f t="shared" ref="L382:L384" si="204">VLOOKUP(AI382,$U$381:$AH$384,9)</f>
        <v>154</v>
      </c>
      <c r="M382" s="92">
        <f t="shared" ref="M382:M384" si="205">VLOOKUP(AI382,$U$381:$AH$384,10)</f>
        <v>124</v>
      </c>
      <c r="N382" s="91">
        <f t="shared" ref="N382:N384" si="206">VLOOKUP(AI382,$U$381:$AH$384,11)</f>
        <v>30</v>
      </c>
      <c r="O382" s="93">
        <f t="shared" ref="O382:O384" si="207">VLOOKUP(AI382,$U$381:$AH$384,12)</f>
        <v>0.55555555555555558</v>
      </c>
      <c r="Q382" s="40"/>
      <c r="R382" s="46"/>
      <c r="S382" s="41" t="s">
        <v>35</v>
      </c>
      <c r="T382" s="40"/>
      <c r="U382" s="45">
        <v>2</v>
      </c>
      <c r="V382" s="44" t="str">
        <f>IF(OR('1ª fase'!K69="",'1ª fase'!M69=""),"VENCEDOR J47",IF('1ª fase'!K69&gt;'1ª fase'!M69,'1ª fase'!C69,'1ª fase'!N69))</f>
        <v>Galaticos  Alves FC</v>
      </c>
      <c r="W382" s="44">
        <f>COUNT(H390,H395,F402)</f>
        <v>3</v>
      </c>
      <c r="X382" s="44">
        <f>SUM(Q390,Q395,C402)</f>
        <v>8</v>
      </c>
      <c r="Y382" s="44">
        <f t="shared" ref="Y382:Y384" si="208">SUM(COUNTIFS($C$386:$C$402,3,$D$386:$D$402,V382),COUNTIFS($I$386:$I$402,V382,$Q$386:$Q$402,3))</f>
        <v>2</v>
      </c>
      <c r="Z382" s="44">
        <f t="shared" ref="Z382:Z384" si="209">SUM(COUNTIFS($C$386:$C$402,2,$D$386:$D$402,V382),COUNTIFS($I$386:$I$402,V382,$Q$386:$Q$402,2))</f>
        <v>1</v>
      </c>
      <c r="AA382" s="44">
        <f t="shared" ref="AA382:AA384" si="210">SUM(COUNTIFS($C$386:$C$402,1,$D$386:$D$402,V382),COUNTIFS($I$386:$I$402,V382,$Q$386:$Q$402,1))</f>
        <v>0</v>
      </c>
      <c r="AB382" s="44">
        <f t="shared" ref="AB382:AB384" si="211">SUM(COUNTIFS($C$386:$C$402,0,$D$386:$D$402,V382),COUNTIFS($I$386:$I$402,V382,$Q$386:$Q$402,0))</f>
        <v>0</v>
      </c>
      <c r="AC382" s="121">
        <f>SUM(H390,H395,F402)</f>
        <v>160</v>
      </c>
      <c r="AD382" s="121">
        <f>SUM(H402,F395,F390)</f>
        <v>114</v>
      </c>
      <c r="AE382" s="121">
        <f t="shared" ref="AE382:AE384" si="212">AC382-AD382</f>
        <v>46</v>
      </c>
      <c r="AF382" s="121">
        <f>IF(OR($F$133="",$H$133=""),0,(X382/(W382*3)))</f>
        <v>0.88888888888888884</v>
      </c>
      <c r="AG382" s="44">
        <f t="shared" ref="AG382:AG384" si="213">(X382*10^15)+((AC382+5000)*10^6)+AE382*10+U382</f>
        <v>8000005160000462</v>
      </c>
      <c r="AH382" s="44">
        <f t="shared" ref="AH382:AH384" si="214">LARGE($AG$381:$AG$384,U382)</f>
        <v>5000005154000304</v>
      </c>
      <c r="AI382" s="90">
        <f t="shared" ref="AI382:AI384" si="215">MATCH(AH382,$AG$381:$AG$384,0)</f>
        <v>4</v>
      </c>
      <c r="AJ382" s="44"/>
      <c r="AK382" s="44"/>
    </row>
    <row r="383" spans="3:37" ht="15.75" thickBot="1">
      <c r="C383" s="40">
        <f>IF(OR(F383="",H383=""),"",IF(F383=H383,1,IF(F383&lt;H383,0,IF(F383-H383&lt;10,2,IF(F383&gt;H383,3,SE)))))</f>
        <v>2</v>
      </c>
      <c r="D383" s="30" t="s">
        <v>16</v>
      </c>
      <c r="E383" s="31" t="str">
        <f t="shared" si="197"/>
        <v>Maldry F.C</v>
      </c>
      <c r="F383" s="31">
        <f t="shared" si="198"/>
        <v>3</v>
      </c>
      <c r="G383" s="31">
        <f t="shared" si="199"/>
        <v>3</v>
      </c>
      <c r="H383" s="32">
        <f t="shared" si="200"/>
        <v>1</v>
      </c>
      <c r="I383" s="32">
        <f t="shared" si="201"/>
        <v>0</v>
      </c>
      <c r="J383" s="32">
        <f t="shared" si="202"/>
        <v>0</v>
      </c>
      <c r="K383" s="32">
        <f t="shared" si="203"/>
        <v>2</v>
      </c>
      <c r="L383" s="32">
        <f t="shared" si="204"/>
        <v>155</v>
      </c>
      <c r="M383" s="32">
        <f t="shared" si="205"/>
        <v>139</v>
      </c>
      <c r="N383" s="31">
        <f t="shared" si="206"/>
        <v>16</v>
      </c>
      <c r="O383" s="33">
        <f t="shared" si="207"/>
        <v>0.33333333333333331</v>
      </c>
      <c r="Q383" s="40"/>
      <c r="R383" s="47"/>
      <c r="S383" s="19" t="s">
        <v>38</v>
      </c>
      <c r="T383" s="40"/>
      <c r="U383" s="45">
        <v>3</v>
      </c>
      <c r="V383" s="44" t="str">
        <f>IF(OR('1ª fase'!K68="",'1ª fase'!M68=""),"VENCEDOR J46",IF('1ª fase'!K68&gt;'1ª fase'!M68,'1ª fase'!C68,'1ª fase'!N68))</f>
        <v>Visão Futebolística</v>
      </c>
      <c r="W383" s="44">
        <f>COUNT(H401,F396,F390)</f>
        <v>3</v>
      </c>
      <c r="X383" s="44">
        <f>SUM(C390,C396,Q401)</f>
        <v>0</v>
      </c>
      <c r="Y383" s="44">
        <f t="shared" si="208"/>
        <v>0</v>
      </c>
      <c r="Z383" s="44">
        <f t="shared" si="209"/>
        <v>0</v>
      </c>
      <c r="AA383" s="44">
        <f t="shared" si="210"/>
        <v>0</v>
      </c>
      <c r="AB383" s="44">
        <f t="shared" si="211"/>
        <v>3</v>
      </c>
      <c r="AC383" s="121">
        <f>SUM(H401,F396,F390)</f>
        <v>111</v>
      </c>
      <c r="AD383" s="121">
        <f>SUM(H390,H396,F401)</f>
        <v>203</v>
      </c>
      <c r="AE383" s="121">
        <f t="shared" si="212"/>
        <v>-92</v>
      </c>
      <c r="AF383" s="121">
        <f>IF(OR($F$133="",$H$133=""),0,(X383/(W383*3)))</f>
        <v>0</v>
      </c>
      <c r="AG383" s="44">
        <f t="shared" si="213"/>
        <v>5110999083</v>
      </c>
      <c r="AH383" s="44">
        <f t="shared" si="214"/>
        <v>3000005155000161</v>
      </c>
      <c r="AI383" s="90">
        <f t="shared" si="215"/>
        <v>1</v>
      </c>
      <c r="AJ383" s="44"/>
      <c r="AK383" s="44"/>
    </row>
    <row r="384" spans="3:37" ht="15.75" thickBot="1">
      <c r="C384" s="40">
        <f>IF(OR(F384="",H384=""),"",IF(F384=H384,1,IF(F384&lt;H384,0,IF(F384-H384&lt;10,2,IF(F384&gt;H384,3,SE)))))</f>
        <v>2</v>
      </c>
      <c r="D384" s="12" t="s">
        <v>17</v>
      </c>
      <c r="E384" s="6" t="str">
        <f t="shared" si="197"/>
        <v>Visão Futebolística</v>
      </c>
      <c r="F384" s="6">
        <f t="shared" si="198"/>
        <v>3</v>
      </c>
      <c r="G384" s="6">
        <f t="shared" si="199"/>
        <v>0</v>
      </c>
      <c r="H384" s="7">
        <f t="shared" si="200"/>
        <v>0</v>
      </c>
      <c r="I384" s="7">
        <f t="shared" si="201"/>
        <v>0</v>
      </c>
      <c r="J384" s="7">
        <f t="shared" si="202"/>
        <v>0</v>
      </c>
      <c r="K384" s="7">
        <f t="shared" si="203"/>
        <v>3</v>
      </c>
      <c r="L384" s="7">
        <f t="shared" si="204"/>
        <v>111</v>
      </c>
      <c r="M384" s="7">
        <f t="shared" si="205"/>
        <v>203</v>
      </c>
      <c r="N384" s="6">
        <f t="shared" si="206"/>
        <v>-92</v>
      </c>
      <c r="O384" s="15">
        <f t="shared" si="207"/>
        <v>0</v>
      </c>
      <c r="Q384" s="40"/>
      <c r="R384" s="48"/>
      <c r="S384" s="41" t="s">
        <v>37</v>
      </c>
      <c r="T384" s="40"/>
      <c r="U384" s="45">
        <v>4</v>
      </c>
      <c r="V384" s="44" t="str">
        <f>IF(OR('1ª fase'!K67="",'1ª fase'!M67=""),"VENCEDOR J45",IF('1ª fase'!K67&gt;'1ª fase'!M67,'1ª fase'!C67,'1ª fase'!N67))</f>
        <v>Bóia de Munique FC</v>
      </c>
      <c r="W384" s="44">
        <f>COUNT($F$133,$F$139,$F$145,#REF!,#REF!,#REF!)</f>
        <v>3</v>
      </c>
      <c r="X384" s="44">
        <f>SUM(C389,C395,C401)</f>
        <v>5</v>
      </c>
      <c r="Y384" s="44">
        <f t="shared" si="208"/>
        <v>1</v>
      </c>
      <c r="Z384" s="44">
        <f t="shared" si="209"/>
        <v>1</v>
      </c>
      <c r="AA384" s="44">
        <f t="shared" si="210"/>
        <v>0</v>
      </c>
      <c r="AB384" s="44">
        <f t="shared" si="211"/>
        <v>1</v>
      </c>
      <c r="AC384" s="121">
        <f>SUM(F389,F395,F401)</f>
        <v>154</v>
      </c>
      <c r="AD384" s="121">
        <f>SUM(H401,H395,H389)</f>
        <v>124</v>
      </c>
      <c r="AE384" s="121">
        <f t="shared" si="212"/>
        <v>30</v>
      </c>
      <c r="AF384" s="121">
        <f>IF(OR($F$133="",$H$133=""),0,(X384/(W384*3)))</f>
        <v>0.55555555555555558</v>
      </c>
      <c r="AG384" s="44">
        <f t="shared" si="213"/>
        <v>5000005154000304</v>
      </c>
      <c r="AH384" s="44">
        <f t="shared" si="214"/>
        <v>5110999083</v>
      </c>
      <c r="AI384" s="90">
        <f t="shared" si="215"/>
        <v>3</v>
      </c>
      <c r="AJ384" s="44"/>
      <c r="AK384" s="44"/>
    </row>
    <row r="385" spans="3:37" ht="15.75" thickBot="1">
      <c r="C385" s="40" t="str">
        <f>IF(OR(F385="",H385=""),"",IF(F385=H385,1,IF(F385&lt;H385,0,IF(F385-H385&lt;10,2,IF(F385&gt;H385,3,SE)))))</f>
        <v/>
      </c>
      <c r="Q385" s="40" t="str">
        <f>IF(OR(H385="",F385=""),"",IF(H385=F385,1,IF(H385&lt;F385,0,IF(H385-F385&lt;10,2,IF(H385&gt;F385,3,SE)))))</f>
        <v/>
      </c>
      <c r="T385" s="40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</row>
    <row r="386" spans="3:37">
      <c r="C386" s="40" t="str">
        <f>IF(OR(F386="",H386=""),"",IF(F386=H386,1,IF(F386&lt;H386,0,IF(F386-H386&lt;10,2,IF(F386&gt;H386,3,SE)))))</f>
        <v/>
      </c>
      <c r="D386" s="198" t="s">
        <v>160</v>
      </c>
      <c r="E386" s="199"/>
      <c r="F386" s="199"/>
      <c r="G386" s="199"/>
      <c r="H386" s="199"/>
      <c r="I386" s="199"/>
      <c r="J386" s="199"/>
      <c r="K386" s="199"/>
      <c r="L386" s="199"/>
      <c r="M386" s="199"/>
      <c r="N386" s="199"/>
      <c r="O386" s="199"/>
      <c r="P386" s="200"/>
      <c r="Q386" s="40" t="str">
        <f>IF(OR(H386="",F386=""),"",IF(H386=F386,1,IF(H386&lt;F386,0,IF(H386-F386&lt;10,2,IF(H386&gt;F386,3,SE)))))</f>
        <v/>
      </c>
      <c r="T386" s="40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</row>
    <row r="387" spans="3:37" ht="15.75" thickBot="1">
      <c r="C387" s="40" t="str">
        <f>IF(OR(F387="",H387=""),"",IF(F387=H387,1,IF(F387&lt;H387,0,IF(F387-H387&lt;10,2,IF(F387&gt;H387,3,SE)))))</f>
        <v/>
      </c>
      <c r="D387" s="204"/>
      <c r="E387" s="205"/>
      <c r="F387" s="205"/>
      <c r="G387" s="205"/>
      <c r="H387" s="205"/>
      <c r="I387" s="205"/>
      <c r="J387" s="205"/>
      <c r="K387" s="205"/>
      <c r="L387" s="205"/>
      <c r="M387" s="205"/>
      <c r="N387" s="205"/>
      <c r="O387" s="205"/>
      <c r="P387" s="206"/>
      <c r="Q387" s="40" t="str">
        <f>IF(OR(H387="",F387=""),"",IF(H387=F387,1,IF(H387&lt;F387,0,IF(H387-F387&lt;10,2,IF(H387&gt;F387,3,SE)))))</f>
        <v/>
      </c>
      <c r="T387" s="40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</row>
    <row r="388" spans="3:37">
      <c r="C388" s="40" t="str">
        <f>IF(OR(F388="",H388=""),"",IF(F388=H388,1,IF(F388&lt;H388,0,IF(F388-H388&lt;10,2,IF(F388&gt;H388,3,SE)))))</f>
        <v/>
      </c>
      <c r="Q388" s="40" t="str">
        <f>IF(OR(H388="",F388=""),"",IF(H388=F388,1,IF(H388&lt;F388,0,IF(H388-F388&lt;10,2,IF(H388&gt;F388,3,SE)))))</f>
        <v/>
      </c>
      <c r="T388" s="40"/>
      <c r="U388" s="44"/>
      <c r="V388" s="44"/>
      <c r="W388" s="44"/>
      <c r="X388" s="45"/>
      <c r="Y388" s="45"/>
      <c r="Z388" s="45"/>
      <c r="AA388" s="45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</row>
    <row r="389" spans="3:37">
      <c r="C389" s="40">
        <f>IF(OR(F389="",H389=""),"",IF(F389=H389,1,IF(F389&lt;H389,0,IF(F389-H389&lt;10,2,IF(F389&gt;H389,3,SE)))))</f>
        <v>2</v>
      </c>
      <c r="D389" s="197" t="str">
        <f>V384</f>
        <v>Bóia de Munique FC</v>
      </c>
      <c r="E389" s="197"/>
      <c r="F389" s="141">
        <v>46</v>
      </c>
      <c r="G389" s="17" t="s">
        <v>19</v>
      </c>
      <c r="H389" s="140">
        <v>43</v>
      </c>
      <c r="I389" s="197" t="str">
        <f>V381</f>
        <v>Maldry F.C</v>
      </c>
      <c r="J389" s="197"/>
      <c r="K389" s="197"/>
      <c r="L389" s="197"/>
      <c r="M389" s="197"/>
      <c r="N389" s="197"/>
      <c r="O389" s="197"/>
      <c r="P389" s="197"/>
      <c r="Q389" s="40">
        <f>IF(OR(H389="",F389=""),"",IF(H389=F389,1,IF(H389&lt;F389,0,IF(H389-F389&lt;10,2,IF(H389&gt;F389,3,SE)))))</f>
        <v>0</v>
      </c>
      <c r="T389" s="40"/>
      <c r="U389" s="44"/>
      <c r="V389" s="44"/>
      <c r="W389" s="44"/>
      <c r="X389" s="45"/>
      <c r="Y389" s="45"/>
      <c r="Z389" s="45"/>
      <c r="AA389" s="45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</row>
    <row r="390" spans="3:37">
      <c r="C390" s="40">
        <f>IF(OR(F390="",H390=""),"",IF(F390=H390,1,IF(F390&lt;H390,0,IF(F390-H390&lt;10,2,IF(F390&gt;H390,3,SE)))))</f>
        <v>0</v>
      </c>
      <c r="D390" s="197" t="str">
        <f>V383</f>
        <v>Visão Futebolística</v>
      </c>
      <c r="E390" s="197"/>
      <c r="F390" s="140">
        <v>37</v>
      </c>
      <c r="G390" s="17" t="s">
        <v>19</v>
      </c>
      <c r="H390" s="141">
        <v>60</v>
      </c>
      <c r="I390" s="197" t="str">
        <f>V382</f>
        <v>Galaticos  Alves FC</v>
      </c>
      <c r="J390" s="197"/>
      <c r="K390" s="197"/>
      <c r="L390" s="197"/>
      <c r="M390" s="197"/>
      <c r="N390" s="197"/>
      <c r="O390" s="197"/>
      <c r="P390" s="197"/>
      <c r="Q390" s="40">
        <f>IF(OR(H390="",F390=""),"",IF(H390=F390,1,IF(H390&lt;F390,0,IF(H390-F390&lt;10,2,IF(H390&gt;F390,3,SE)))))</f>
        <v>3</v>
      </c>
      <c r="R390" s="40"/>
      <c r="S390" s="40"/>
      <c r="T390" s="40"/>
      <c r="U390" s="44"/>
      <c r="V390" s="44"/>
      <c r="W390" s="44"/>
      <c r="X390" s="45"/>
      <c r="Y390" s="45"/>
      <c r="Z390" s="45"/>
      <c r="AA390" s="45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</row>
    <row r="391" spans="3:37" ht="15.75" thickBot="1">
      <c r="C391" s="40" t="str">
        <f>IF(OR(F391="",H391=""),"",IF(F391=H391,1,IF(F391&lt;H391,0,IF(F391-H391&lt;10,2,IF(F391&gt;H391,3,SE)))))</f>
        <v/>
      </c>
      <c r="Q391" s="40" t="str">
        <f>IF(OR(H391="",F391=""),"",IF(H391=F391,1,IF(H391&lt;F391,0,IF(H391-F391&lt;10,2,IF(H391&gt;F391,3,SE)))))</f>
        <v/>
      </c>
      <c r="R391" s="40"/>
      <c r="S391" s="40"/>
      <c r="T391" s="40"/>
      <c r="U391" s="44"/>
      <c r="V391" s="44"/>
      <c r="W391" s="44"/>
      <c r="X391" s="45"/>
      <c r="Y391" s="45"/>
      <c r="Z391" s="45"/>
      <c r="AA391" s="45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</row>
    <row r="392" spans="3:37">
      <c r="C392" s="40" t="str">
        <f>IF(OR(F392="",H392=""),"",IF(F392=H392,1,IF(F392&lt;H392,0,IF(F392-H392&lt;10,2,IF(F392&gt;H392,3,SE)))))</f>
        <v/>
      </c>
      <c r="D392" s="207" t="s">
        <v>161</v>
      </c>
      <c r="E392" s="208"/>
      <c r="F392" s="208"/>
      <c r="G392" s="208"/>
      <c r="H392" s="208"/>
      <c r="I392" s="208"/>
      <c r="J392" s="208"/>
      <c r="K392" s="208"/>
      <c r="L392" s="208"/>
      <c r="M392" s="208"/>
      <c r="N392" s="208"/>
      <c r="O392" s="208"/>
      <c r="P392" s="209"/>
      <c r="Q392" s="40" t="str">
        <f>IF(OR(H392="",F392=""),"",IF(H392=F392,1,IF(H392&lt;F392,0,IF(H392-F392&lt;10,2,IF(H392&gt;F392,3,SE)))))</f>
        <v/>
      </c>
      <c r="R392" s="40"/>
      <c r="S392" s="40"/>
      <c r="T392" s="40"/>
      <c r="U392" s="44"/>
      <c r="V392" s="44"/>
      <c r="W392" s="44"/>
      <c r="X392" s="45"/>
      <c r="Y392" s="45"/>
      <c r="Z392" s="45"/>
      <c r="AA392" s="45"/>
      <c r="AB392" s="90"/>
      <c r="AC392" s="44"/>
      <c r="AD392" s="44"/>
      <c r="AE392" s="44"/>
      <c r="AF392" s="44"/>
      <c r="AG392" s="44"/>
      <c r="AH392" s="44"/>
      <c r="AI392" s="44"/>
      <c r="AJ392" s="44"/>
      <c r="AK392" s="44"/>
    </row>
    <row r="393" spans="3:37" ht="15.75" thickBot="1">
      <c r="C393" s="40" t="str">
        <f>IF(OR(F393="",H393=""),"",IF(F393=H393,1,IF(F393&lt;H393,0,IF(F393-H393&lt;10,2,IF(F393&gt;H393,3,SE)))))</f>
        <v/>
      </c>
      <c r="D393" s="210"/>
      <c r="E393" s="211"/>
      <c r="F393" s="211"/>
      <c r="G393" s="211"/>
      <c r="H393" s="211"/>
      <c r="I393" s="211"/>
      <c r="J393" s="211"/>
      <c r="K393" s="211"/>
      <c r="L393" s="211"/>
      <c r="M393" s="211"/>
      <c r="N393" s="211"/>
      <c r="O393" s="211"/>
      <c r="P393" s="212"/>
      <c r="Q393" s="40" t="str">
        <f>IF(OR(H393="",F393=""),"",IF(H393=F393,1,IF(H393&lt;F393,0,IF(H393-F393&lt;10,2,IF(H393&gt;F393,3,SE)))))</f>
        <v/>
      </c>
      <c r="R393" s="40"/>
      <c r="S393" s="40"/>
      <c r="T393" s="40"/>
      <c r="U393" s="44"/>
      <c r="V393" s="44"/>
      <c r="W393" s="44"/>
      <c r="X393" s="44"/>
      <c r="Y393" s="90"/>
      <c r="Z393" s="90"/>
      <c r="AA393" s="90"/>
      <c r="AB393" s="90"/>
      <c r="AC393" s="44"/>
      <c r="AD393" s="44"/>
      <c r="AE393" s="44"/>
      <c r="AF393" s="44"/>
      <c r="AG393" s="44"/>
      <c r="AH393" s="44"/>
      <c r="AI393" s="44"/>
      <c r="AJ393" s="44"/>
      <c r="AK393" s="44"/>
    </row>
    <row r="394" spans="3:37">
      <c r="C394" s="40" t="str">
        <f>IF(OR(F394="",H394=""),"",IF(F394=H394,1,IF(F394&lt;H394,0,IF(F394-H394&lt;10,2,IF(F394&gt;H394,3,SE)))))</f>
        <v/>
      </c>
      <c r="Q394" s="40" t="str">
        <f>IF(OR(H394="",F394=""),"",IF(H394=F394,1,IF(H394&lt;F394,0,IF(H394-F394&lt;10,2,IF(H394&gt;F394,3,SE)))))</f>
        <v/>
      </c>
      <c r="R394" s="40"/>
      <c r="S394" s="40"/>
      <c r="T394" s="40"/>
      <c r="U394" s="44"/>
      <c r="V394" s="44"/>
      <c r="W394" s="44"/>
      <c r="X394" s="44"/>
      <c r="Y394" s="90"/>
      <c r="Z394" s="90"/>
      <c r="AA394" s="90"/>
      <c r="AB394" s="90"/>
      <c r="AC394" s="44"/>
      <c r="AD394" s="44"/>
      <c r="AE394" s="44"/>
      <c r="AF394" s="44"/>
      <c r="AG394" s="44"/>
      <c r="AH394" s="44"/>
      <c r="AI394" s="44"/>
      <c r="AJ394" s="44"/>
      <c r="AK394" s="44"/>
    </row>
    <row r="395" spans="3:37">
      <c r="C395" s="40">
        <f>IF(OR(F395="",H395=""),"",IF(F395=H395,1,IF(F395&lt;H395,0,IF(F395-H395&lt;10,2,IF(F395&gt;H395,3,SE)))))</f>
        <v>0</v>
      </c>
      <c r="D395" s="197" t="str">
        <f>V384</f>
        <v>Bóia de Munique FC</v>
      </c>
      <c r="E395" s="197"/>
      <c r="F395" s="140">
        <v>50</v>
      </c>
      <c r="G395" s="18" t="s">
        <v>19</v>
      </c>
      <c r="H395" s="141">
        <v>71</v>
      </c>
      <c r="I395" s="197" t="str">
        <f>V382</f>
        <v>Galaticos  Alves FC</v>
      </c>
      <c r="J395" s="197"/>
      <c r="K395" s="197"/>
      <c r="L395" s="197"/>
      <c r="M395" s="197"/>
      <c r="N395" s="197"/>
      <c r="O395" s="197"/>
      <c r="P395" s="197"/>
      <c r="Q395" s="40">
        <f>IF(OR(H395="",F395=""),"",IF(H395=F395,1,IF(H395&lt;F395,0,IF(H395-F395&lt;10,2,IF(H395&gt;F395,3,SE)))))</f>
        <v>3</v>
      </c>
      <c r="R395" s="40"/>
      <c r="S395" s="40"/>
      <c r="T395" s="40"/>
      <c r="U395" s="44"/>
      <c r="V395" s="44"/>
      <c r="W395" s="44"/>
      <c r="X395" s="44"/>
      <c r="Y395" s="90"/>
      <c r="Z395" s="90"/>
      <c r="AA395" s="90"/>
      <c r="AB395" s="90"/>
      <c r="AC395" s="44"/>
      <c r="AD395" s="44"/>
      <c r="AE395" s="44"/>
      <c r="AF395" s="44"/>
      <c r="AG395" s="44"/>
      <c r="AH395" s="44"/>
      <c r="AI395" s="44"/>
      <c r="AJ395" s="44"/>
      <c r="AK395" s="44"/>
    </row>
    <row r="396" spans="3:37">
      <c r="C396" s="40">
        <f>IF(OR(F396="",H396=""),"",IF(F396=H396,1,IF(F396&lt;H396,0,IF(F396-H396&lt;10,2,IF(F396&gt;H396,3,SE)))))</f>
        <v>0</v>
      </c>
      <c r="D396" s="197" t="str">
        <f>V383</f>
        <v>Visão Futebolística</v>
      </c>
      <c r="E396" s="197"/>
      <c r="F396" s="140">
        <v>64</v>
      </c>
      <c r="G396" s="18" t="s">
        <v>19</v>
      </c>
      <c r="H396" s="141">
        <v>85</v>
      </c>
      <c r="I396" s="197" t="str">
        <f>V381</f>
        <v>Maldry F.C</v>
      </c>
      <c r="J396" s="197"/>
      <c r="K396" s="197"/>
      <c r="L396" s="197"/>
      <c r="M396" s="197"/>
      <c r="N396" s="197"/>
      <c r="O396" s="197"/>
      <c r="P396" s="197"/>
      <c r="Q396" s="40">
        <f>IF(OR(H396="",F396=""),"",IF(H396=F396,1,IF(H396&lt;F396,0,IF(H396-F396&lt;10,2,IF(H396&gt;F396,3,SE)))))</f>
        <v>3</v>
      </c>
      <c r="R396" s="40"/>
      <c r="S396" s="40"/>
      <c r="T396" s="40"/>
      <c r="U396" s="44"/>
      <c r="V396" s="44"/>
      <c r="W396" s="44"/>
      <c r="X396" s="44"/>
      <c r="Y396" s="90"/>
      <c r="Z396" s="90"/>
      <c r="AA396" s="90"/>
      <c r="AB396" s="90"/>
      <c r="AC396" s="44"/>
      <c r="AD396" s="44"/>
      <c r="AE396" s="44"/>
      <c r="AF396" s="44"/>
      <c r="AG396" s="44"/>
      <c r="AH396" s="44"/>
      <c r="AI396" s="44"/>
      <c r="AJ396" s="44"/>
      <c r="AK396" s="44"/>
    </row>
    <row r="397" spans="3:37" ht="15.75" thickBot="1">
      <c r="C397" s="40" t="str">
        <f>IF(OR(F397="",H397=""),"",IF(F397=H397,1,IF(F397&lt;H397,0,IF(F397-H397&lt;10,2,IF(F397&gt;H397,3,SE)))))</f>
        <v/>
      </c>
      <c r="F397" s="20"/>
      <c r="Q397" s="40" t="str">
        <f>IF(OR(H397="",F397=""),"",IF(H397=F397,1,IF(H397&lt;F397,0,IF(H397-F397&lt;10,2,IF(H397&gt;F397,3,SE)))))</f>
        <v/>
      </c>
      <c r="R397" s="40"/>
      <c r="S397" s="40"/>
      <c r="T397" s="40"/>
      <c r="U397" s="44"/>
      <c r="V397" s="44"/>
      <c r="W397" s="44"/>
      <c r="X397" s="44"/>
      <c r="Y397" s="90"/>
      <c r="Z397" s="90"/>
      <c r="AA397" s="90"/>
      <c r="AB397" s="90"/>
      <c r="AC397" s="44"/>
      <c r="AD397" s="44"/>
      <c r="AE397" s="44"/>
      <c r="AF397" s="44"/>
      <c r="AG397" s="44"/>
      <c r="AH397" s="44"/>
      <c r="AI397" s="44"/>
      <c r="AJ397" s="44"/>
      <c r="AK397" s="44"/>
    </row>
    <row r="398" spans="3:37">
      <c r="C398" s="40" t="str">
        <f>IF(OR(F398="",H398=""),"",IF(F398=H398,1,IF(F398&lt;H398,0,IF(F398-H398&lt;10,2,IF(F398&gt;H398,3,SE)))))</f>
        <v/>
      </c>
      <c r="D398" s="207" t="s">
        <v>162</v>
      </c>
      <c r="E398" s="208"/>
      <c r="F398" s="208"/>
      <c r="G398" s="208"/>
      <c r="H398" s="208"/>
      <c r="I398" s="208"/>
      <c r="J398" s="208"/>
      <c r="K398" s="208"/>
      <c r="L398" s="208"/>
      <c r="M398" s="208"/>
      <c r="N398" s="208"/>
      <c r="O398" s="208"/>
      <c r="P398" s="209"/>
      <c r="Q398" s="40" t="str">
        <f>IF(OR(H398="",F398=""),"",IF(H398=F398,1,IF(H398&lt;F398,0,IF(H398-F398&lt;10,2,IF(H398&gt;F398,3,SE)))))</f>
        <v/>
      </c>
      <c r="R398" s="40"/>
      <c r="S398" s="40"/>
      <c r="T398" s="40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</row>
    <row r="399" spans="3:37" ht="15.75" thickBot="1">
      <c r="C399" s="40" t="str">
        <f>IF(OR(F399="",H399=""),"",IF(F399=H399,1,IF(F399&lt;H399,0,IF(F399-H399&lt;10,2,IF(F399&gt;H399,3,SE)))))</f>
        <v/>
      </c>
      <c r="D399" s="210"/>
      <c r="E399" s="211"/>
      <c r="F399" s="211"/>
      <c r="G399" s="211"/>
      <c r="H399" s="211"/>
      <c r="I399" s="211"/>
      <c r="J399" s="211"/>
      <c r="K399" s="211"/>
      <c r="L399" s="211"/>
      <c r="M399" s="211"/>
      <c r="N399" s="211"/>
      <c r="O399" s="211"/>
      <c r="P399" s="212"/>
      <c r="Q399" s="40" t="str">
        <f>IF(OR(H399="",F399=""),"",IF(H399=F399,1,IF(H399&lt;F399,0,IF(H399-F399&lt;10,2,IF(H399&gt;F399,3,SE)))))</f>
        <v/>
      </c>
      <c r="R399" s="40"/>
      <c r="S399" s="40"/>
      <c r="T399" s="40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</row>
    <row r="400" spans="3:37">
      <c r="C400" s="40" t="str">
        <f>IF(OR(F400="",H400=""),"",IF(F400=H400,1,IF(F400&lt;H400,0,IF(F400-H400&lt;10,2,IF(F400&gt;H400,3,SE)))))</f>
        <v/>
      </c>
      <c r="Q400" s="40" t="str">
        <f>IF(OR(H400="",F400=""),"",IF(H400=F400,1,IF(H400&lt;F400,0,IF(H400-F400&lt;10,2,IF(H400&gt;F400,3,SE)))))</f>
        <v/>
      </c>
      <c r="R400" s="40"/>
      <c r="S400" s="40"/>
      <c r="T400" s="40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</row>
    <row r="401" spans="3:37">
      <c r="C401" s="40">
        <f>IF(OR(F401="",H401=""),"",IF(F401=H401,1,IF(F401&lt;H401,0,IF(F401-H401&lt;10,2,IF(F401&gt;H401,3,SE)))))</f>
        <v>3</v>
      </c>
      <c r="D401" s="197" t="str">
        <f>V384</f>
        <v>Bóia de Munique FC</v>
      </c>
      <c r="E401" s="197"/>
      <c r="F401" s="141">
        <v>58</v>
      </c>
      <c r="G401" s="17" t="s">
        <v>19</v>
      </c>
      <c r="H401" s="140">
        <v>10</v>
      </c>
      <c r="I401" s="197" t="str">
        <f>V383</f>
        <v>Visão Futebolística</v>
      </c>
      <c r="J401" s="197"/>
      <c r="K401" s="197"/>
      <c r="L401" s="197"/>
      <c r="M401" s="197"/>
      <c r="N401" s="197"/>
      <c r="O401" s="197"/>
      <c r="P401" s="197"/>
      <c r="Q401" s="40">
        <f>IF(OR(H401="",F401=""),"",IF(H401=F401,1,IF(H401&lt;F401,0,IF(H401-F401&lt;10,2,IF(H401&gt;F401,3,SE)))))</f>
        <v>0</v>
      </c>
      <c r="R401" s="40"/>
      <c r="S401" s="40"/>
      <c r="T401" s="40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</row>
    <row r="402" spans="3:37">
      <c r="C402" s="40">
        <f>IF(OR(F402="",H402=""),"",IF(F402=H402,1,IF(F402&lt;H402,0,IF(F402-H402&lt;10,2,IF(F402&gt;H402,3,SE)))))</f>
        <v>2</v>
      </c>
      <c r="D402" s="197" t="str">
        <f>V382</f>
        <v>Galaticos  Alves FC</v>
      </c>
      <c r="E402" s="197"/>
      <c r="F402" s="141">
        <v>29</v>
      </c>
      <c r="G402" s="17" t="s">
        <v>19</v>
      </c>
      <c r="H402" s="140">
        <v>27</v>
      </c>
      <c r="I402" s="197" t="str">
        <f>V381</f>
        <v>Maldry F.C</v>
      </c>
      <c r="J402" s="197"/>
      <c r="K402" s="197"/>
      <c r="L402" s="197"/>
      <c r="M402" s="197"/>
      <c r="N402" s="197"/>
      <c r="O402" s="197"/>
      <c r="P402" s="197"/>
      <c r="Q402" s="40">
        <f>IF(OR(H402="",F402=""),"",IF(H402=F402,1,IF(H402&lt;F402,0,IF(H402-F402&lt;10,2,IF(H402&gt;F402,3,SE)))))</f>
        <v>0</v>
      </c>
      <c r="R402" s="40"/>
      <c r="S402" s="40"/>
      <c r="T402" s="40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</row>
    <row r="403" spans="3:37">
      <c r="C403" s="40" t="str">
        <f>IF(OR(F403="",H403=""),"",IF(F403=H403,1,IF(F403&lt;H403,0,IF(F403-H403&lt;10,2,IF(F403&gt;H403,3,SE)))))</f>
        <v/>
      </c>
      <c r="Q403" s="40" t="str">
        <f>IF(OR(H403="",F403=""),"",IF(H403=F403,1,IF(H403&lt;F403,0,IF(H403-F403&lt;10,2,IF(H403&gt;F403,3,SE)))))</f>
        <v/>
      </c>
      <c r="R403" s="40"/>
      <c r="S403" s="40"/>
      <c r="T403" s="40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</row>
    <row r="404" spans="3:37">
      <c r="C404" s="40" t="str">
        <f>IF(OR(F404="",H404=""),"",IF(F404=H404,1,IF(F404&lt;H404,0,IF(F404-H404&lt;10,2,IF(F404&gt;H404,3,SE)))))</f>
        <v/>
      </c>
      <c r="D404" s="21"/>
      <c r="E404" s="21"/>
      <c r="F404" s="22"/>
      <c r="G404" s="23"/>
      <c r="H404" s="22"/>
      <c r="I404" s="21"/>
      <c r="J404" s="21"/>
      <c r="K404" s="21"/>
      <c r="L404" s="21"/>
      <c r="M404" s="21"/>
      <c r="N404" s="21"/>
      <c r="O404" s="21"/>
      <c r="P404" s="21"/>
      <c r="Q404" s="40"/>
      <c r="R404" s="41" t="s">
        <v>5</v>
      </c>
      <c r="S404" s="43"/>
      <c r="T404" s="40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</row>
    <row r="405" spans="3:37">
      <c r="C405" s="40" t="str">
        <f>IF(OR(F405="",H405=""),"",IF(F405=H405,1,IF(F405&lt;H405,0,IF(F405-H405&lt;10,2,IF(F405&gt;H405,3,SE)))))</f>
        <v/>
      </c>
      <c r="D405" s="21"/>
      <c r="E405" s="21"/>
      <c r="F405" s="22"/>
      <c r="G405" s="23"/>
      <c r="H405" s="22"/>
      <c r="I405" s="21"/>
      <c r="J405" s="21"/>
      <c r="K405" s="21"/>
      <c r="L405" s="21"/>
      <c r="M405" s="21"/>
      <c r="N405" s="21"/>
      <c r="O405" s="21"/>
      <c r="P405" s="21"/>
      <c r="Q405" s="40"/>
      <c r="R405" s="41" t="s">
        <v>14</v>
      </c>
      <c r="S405" s="43"/>
      <c r="T405" s="41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</row>
    <row r="406" spans="3:37">
      <c r="C406" s="40" t="str">
        <f>IF(OR(F406="",H406=""),"",IF(F406=H406,1,IF(F406&lt;H406,0,IF(F406-H406&lt;10,2,IF(F406&gt;H406,3,SE)))))</f>
        <v/>
      </c>
      <c r="D406" s="21"/>
      <c r="E406" s="21"/>
      <c r="F406" s="22"/>
      <c r="G406" s="23"/>
      <c r="H406" s="22"/>
      <c r="I406" s="21"/>
      <c r="J406" s="21"/>
      <c r="K406" s="21"/>
      <c r="L406" s="21"/>
      <c r="M406" s="21"/>
      <c r="N406" s="21"/>
      <c r="O406" s="21"/>
      <c r="P406" s="21"/>
      <c r="Q406" s="40"/>
      <c r="R406" s="41" t="s">
        <v>28</v>
      </c>
      <c r="T406" s="41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</row>
    <row r="407" spans="3:37">
      <c r="C407" s="40" t="str">
        <f>IF(OR(F407="",H407=""),"",IF(F407=H407,1,IF(F407&lt;H407,0,IF(F407-H407&lt;10,2,IF(F407&gt;H407,3,SE)))))</f>
        <v/>
      </c>
      <c r="D407" s="21"/>
      <c r="E407" s="21"/>
      <c r="F407" s="22"/>
      <c r="G407" s="23"/>
      <c r="H407" s="22"/>
      <c r="I407" s="21"/>
      <c r="J407" s="21"/>
      <c r="K407" s="21"/>
      <c r="L407" s="21"/>
      <c r="M407" s="21"/>
      <c r="N407" s="21"/>
      <c r="O407" s="21"/>
      <c r="P407" s="21"/>
      <c r="Q407" s="40"/>
      <c r="R407" s="41" t="s">
        <v>29</v>
      </c>
      <c r="S407" s="41"/>
      <c r="T407" s="41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</row>
    <row r="408" spans="3:37">
      <c r="C408" s="40" t="str">
        <f>IF(OR(F408="",H408=""),"",IF(F408=H408,1,IF(F408&lt;H408,0,IF(F408-H408&lt;10,2,IF(F408&gt;H408,3,SE)))))</f>
        <v/>
      </c>
      <c r="D408" s="21"/>
      <c r="E408" s="21"/>
      <c r="F408" s="22"/>
      <c r="G408" s="23"/>
      <c r="H408" s="22"/>
      <c r="I408" s="21"/>
      <c r="J408" s="21"/>
      <c r="K408" s="21"/>
      <c r="L408" s="21"/>
      <c r="M408" s="21"/>
      <c r="N408" s="21"/>
      <c r="O408" s="21"/>
      <c r="P408" s="21"/>
      <c r="Q408" s="40"/>
      <c r="R408" s="41" t="s">
        <v>30</v>
      </c>
      <c r="S408" s="41"/>
      <c r="T408" s="41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</row>
    <row r="409" spans="3:37" ht="15.75" thickBot="1">
      <c r="C409" s="40" t="str">
        <f>IF(OR(F409="",H409=""),"",IF(F409=H409,1,IF(F409&lt;H409,0,IF(F409-H409&lt;10,2,IF(F409&gt;H409,3,SE)))))</f>
        <v/>
      </c>
      <c r="Q409" s="40" t="str">
        <f>IF(OR(H409="",F409=""),"",IF(H409=F409,1,IF(H409&lt;F409,0,IF(H409-F409&lt;10,2,IF(H409&gt;F409,3,SE)))))</f>
        <v/>
      </c>
      <c r="R409" s="41" t="s">
        <v>31</v>
      </c>
      <c r="S409" s="41"/>
      <c r="T409" s="41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</row>
    <row r="410" spans="3:37" ht="15" customHeight="1">
      <c r="C410" s="40" t="str">
        <f>IF(OR(F410="",H410=""),"",IF(F410=H410,1,IF(F410&lt;H410,0,IF(F410-H410&lt;10,2,IF(F410&gt;H410,3,SE)))))</f>
        <v/>
      </c>
      <c r="D410" s="207" t="s">
        <v>171</v>
      </c>
      <c r="E410" s="208"/>
      <c r="F410" s="208"/>
      <c r="G410" s="208"/>
      <c r="H410" s="208"/>
      <c r="I410" s="208"/>
      <c r="J410" s="208"/>
      <c r="K410" s="208"/>
      <c r="L410" s="208"/>
      <c r="M410" s="208"/>
      <c r="N410" s="208"/>
      <c r="O410" s="209"/>
      <c r="Q410" s="40" t="str">
        <f>IF(OR(H410="",F410=""),"",IF(H410=F410,1,IF(H410&lt;F410,0,IF(H410-F410&lt;10,2,IF(H410&gt;F410,3,SE)))))</f>
        <v/>
      </c>
      <c r="R410" s="41" t="s">
        <v>32</v>
      </c>
      <c r="S410" s="41"/>
      <c r="T410" s="41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</row>
    <row r="411" spans="3:37" ht="15.75" customHeight="1" thickBot="1">
      <c r="C411" s="40" t="str">
        <f>IF(OR(F411="",H411=""),"",IF(F411=H411,1,IF(F411&lt;H411,0,IF(F411-H411&lt;10,2,IF(F411&gt;H411,3,SE)))))</f>
        <v/>
      </c>
      <c r="D411" s="210"/>
      <c r="E411" s="211"/>
      <c r="F411" s="211"/>
      <c r="G411" s="211"/>
      <c r="H411" s="211"/>
      <c r="I411" s="211"/>
      <c r="J411" s="211"/>
      <c r="K411" s="211"/>
      <c r="L411" s="211"/>
      <c r="M411" s="211"/>
      <c r="N411" s="211"/>
      <c r="O411" s="212"/>
      <c r="Q411" s="40" t="str">
        <f>IF(OR(H411="",F411=""),"",IF(H411=F411,1,IF(H411&lt;F411,0,IF(H411-F411&lt;10,2,IF(H411&gt;F411,3,SE)))))</f>
        <v/>
      </c>
      <c r="R411" s="41" t="s">
        <v>33</v>
      </c>
      <c r="S411" s="41"/>
      <c r="T411" s="41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</row>
    <row r="412" spans="3:37" ht="15.75" thickBot="1">
      <c r="C412" s="40">
        <f>IF(OR(F412="",H412=""),"",IF(F412=H412,1,IF(F412&lt;H412,0,IF(F412-H412&lt;10,2,IF(F412&gt;H412,3,SE)))))</f>
        <v>0</v>
      </c>
      <c r="D412" s="1" t="s">
        <v>0</v>
      </c>
      <c r="E412" s="2" t="s">
        <v>1</v>
      </c>
      <c r="F412" s="2" t="s">
        <v>21</v>
      </c>
      <c r="G412" s="2" t="s">
        <v>2</v>
      </c>
      <c r="H412" s="2" t="s">
        <v>22</v>
      </c>
      <c r="I412" s="2" t="s">
        <v>23</v>
      </c>
      <c r="J412" s="2" t="s">
        <v>24</v>
      </c>
      <c r="K412" s="2" t="s">
        <v>25</v>
      </c>
      <c r="L412" s="2" t="s">
        <v>27</v>
      </c>
      <c r="M412" s="2" t="s">
        <v>3</v>
      </c>
      <c r="N412" s="2" t="s">
        <v>4</v>
      </c>
      <c r="O412" s="3" t="s">
        <v>26</v>
      </c>
      <c r="Q412" s="40"/>
      <c r="R412" s="41" t="s">
        <v>18</v>
      </c>
      <c r="S412" s="41"/>
      <c r="T412" s="41"/>
      <c r="U412" s="45" t="s">
        <v>0</v>
      </c>
      <c r="V412" s="45" t="s">
        <v>6</v>
      </c>
      <c r="W412" s="45" t="s">
        <v>21</v>
      </c>
      <c r="X412" s="45" t="s">
        <v>2</v>
      </c>
      <c r="Y412" s="45" t="s">
        <v>22</v>
      </c>
      <c r="Z412" s="45" t="s">
        <v>23</v>
      </c>
      <c r="AA412" s="45" t="s">
        <v>24</v>
      </c>
      <c r="AB412" s="45" t="s">
        <v>25</v>
      </c>
      <c r="AC412" s="45" t="s">
        <v>7</v>
      </c>
      <c r="AD412" s="45" t="s">
        <v>8</v>
      </c>
      <c r="AE412" s="45" t="s">
        <v>9</v>
      </c>
      <c r="AF412" s="45" t="s">
        <v>26</v>
      </c>
      <c r="AG412" s="45" t="s">
        <v>10</v>
      </c>
      <c r="AH412" s="45" t="s">
        <v>11</v>
      </c>
      <c r="AI412" s="45" t="s">
        <v>12</v>
      </c>
      <c r="AJ412" s="44"/>
      <c r="AK412" s="44"/>
    </row>
    <row r="413" spans="3:37" ht="15.75" thickBot="1">
      <c r="C413" s="40">
        <f>IF(OR(F413="",H413=""),"",IF(F413=H413,1,IF(F413&lt;H413,0,IF(F413-H413&lt;10,2,IF(F413&gt;H413,3,SE)))))</f>
        <v>2</v>
      </c>
      <c r="D413" s="8" t="s">
        <v>13</v>
      </c>
      <c r="E413" s="9" t="str">
        <f>VLOOKUP(AI413,$U$413:$AH$416,2)</f>
        <v>The Snipers F.C.</v>
      </c>
      <c r="F413" s="9">
        <f>VLOOKUP(AI413,$U$413:$AH$416,3)</f>
        <v>3</v>
      </c>
      <c r="G413" s="9">
        <f>VLOOKUP(AI413,$U$413:$AH$416,4)</f>
        <v>6</v>
      </c>
      <c r="H413" s="10">
        <f>VLOOKUP(AI413,$U$413:$AH$416,5)</f>
        <v>2</v>
      </c>
      <c r="I413" s="10">
        <f>VLOOKUP(AI413,$U$413:$AH$416,6)</f>
        <v>0</v>
      </c>
      <c r="J413" s="10">
        <f>VLOOKUP(AI413,$U$413:$AH$416,7)</f>
        <v>0</v>
      </c>
      <c r="K413" s="10">
        <f>VLOOKUP(AI413,$U$413:$AH$416,8)</f>
        <v>1</v>
      </c>
      <c r="L413" s="10">
        <f>VLOOKUP(AI413,$U$413:$AH$416,9)</f>
        <v>166</v>
      </c>
      <c r="M413" s="10">
        <f>VLOOKUP(AI413,$U$413:$AH$416,10)</f>
        <v>145</v>
      </c>
      <c r="N413" s="9">
        <f>VLOOKUP(AI413,$U$413:$AH$416,11)</f>
        <v>21</v>
      </c>
      <c r="O413" s="16">
        <f>VLOOKUP(AI413,$U$413:$AH$416,12)</f>
        <v>0.66666666666666663</v>
      </c>
      <c r="Q413" s="40"/>
      <c r="R413" s="41" t="s">
        <v>34</v>
      </c>
      <c r="S413" s="41"/>
      <c r="T413" s="41"/>
      <c r="U413" s="45">
        <v>1</v>
      </c>
      <c r="V413" s="44" t="str">
        <f>IF(OR('1ª fase'!K74="",'1ª fase'!M74=""),"VENCEDOR J52",IF('1ª fase'!K74&gt;'1ª fase'!M74,'1ª fase'!C74,'1ª fase'!N74))</f>
        <v>Starmalas.F.C.</v>
      </c>
      <c r="W413" s="44">
        <f>COUNT(H421,H428,H434)</f>
        <v>3</v>
      </c>
      <c r="X413" s="44">
        <f>SUM(Q421,Q428,Q434)</f>
        <v>3</v>
      </c>
      <c r="Y413" s="44">
        <f>SUM(COUNTIFS($C$418:$C$434,3,$D$418:$D$434,V413),COUNTIFS($I$418:$I$434,V413,$Q$418:$Q$434,3))</f>
        <v>1</v>
      </c>
      <c r="Z413" s="44">
        <f>SUM(COUNTIFS($C$418:$C$434,2,$D$418:$D$434,V413),COUNTIFS($I$418:$I$434,V413,$Q$418:$Q$434,2))</f>
        <v>0</v>
      </c>
      <c r="AA413" s="44">
        <f>SUM(COUNTIFS($C$418:$C$434,1,$D$418:$D$434,V413),COUNTIFS($I$418:$I$434,V413,$Q$418:$Q$434,1))</f>
        <v>0</v>
      </c>
      <c r="AB413" s="44">
        <f>SUM(COUNTIFS($C$418:$C$434,0,$D$418:$D$434,V413),COUNTIFS($I$418:$I$434,V413,$Q$418:$Q$434,0))</f>
        <v>2</v>
      </c>
      <c r="AC413" s="121">
        <f>SUM(H421,H428,H434)</f>
        <v>142</v>
      </c>
      <c r="AD413" s="121">
        <f>SUM(F421,F428,F434)</f>
        <v>144</v>
      </c>
      <c r="AE413" s="121">
        <f>AC413-AD413</f>
        <v>-2</v>
      </c>
      <c r="AF413" s="121">
        <f>IF(OR($F$101="",$H$101=""),0,(X413/(W413*3)))</f>
        <v>0.33333333333333331</v>
      </c>
      <c r="AG413" s="44">
        <f>(X413*10^10)+((AC413+5000)*10^6)+AE413*10+U413</f>
        <v>35141999981</v>
      </c>
      <c r="AH413" s="44">
        <f>LARGE($AG$413:$AG$416,U413)</f>
        <v>65166000212</v>
      </c>
      <c r="AI413" s="90">
        <f>MATCH(AH413,$AG$413:$AG$416,0)</f>
        <v>2</v>
      </c>
      <c r="AJ413" s="44"/>
      <c r="AK413" s="44"/>
    </row>
    <row r="414" spans="3:37" ht="15.75" thickBot="1">
      <c r="C414" s="40">
        <f>IF(OR(F414="",H414=""),"",IF(F414=H414,1,IF(F414&lt;H414,0,IF(F414-H414&lt;10,2,IF(F414&gt;H414,3,SE)))))</f>
        <v>2</v>
      </c>
      <c r="D414" s="11" t="s">
        <v>15</v>
      </c>
      <c r="E414" s="9" t="str">
        <f t="shared" ref="E414:E416" si="216">VLOOKUP(AI414,$U$413:$AH$416,2)</f>
        <v>Star Champions</v>
      </c>
      <c r="F414" s="9">
        <f t="shared" ref="F414:F416" si="217">VLOOKUP(AI414,$U$413:$AH$416,3)</f>
        <v>3</v>
      </c>
      <c r="G414" s="9">
        <f t="shared" ref="G414:G416" si="218">VLOOKUP(AI414,$U$413:$AH$416,4)</f>
        <v>4</v>
      </c>
      <c r="H414" s="10">
        <f t="shared" ref="H414:H416" si="219">VLOOKUP(AI414,$U$413:$AH$416,5)</f>
        <v>0</v>
      </c>
      <c r="I414" s="10">
        <f t="shared" ref="I414:I416" si="220">VLOOKUP(AI414,$U$413:$AH$416,6)</f>
        <v>2</v>
      </c>
      <c r="J414" s="10">
        <f t="shared" ref="J414:J416" si="221">VLOOKUP(AI414,$U$413:$AH$416,7)</f>
        <v>0</v>
      </c>
      <c r="K414" s="10">
        <f t="shared" ref="K414:K416" si="222">VLOOKUP(AI414,$U$413:$AH$416,8)</f>
        <v>1</v>
      </c>
      <c r="L414" s="10">
        <f t="shared" ref="L414:L416" si="223">VLOOKUP(AI414,$U$413:$AH$416,9)</f>
        <v>114</v>
      </c>
      <c r="M414" s="10">
        <f t="shared" ref="M414:M416" si="224">VLOOKUP(AI414,$U$413:$AH$416,10)</f>
        <v>115</v>
      </c>
      <c r="N414" s="9">
        <f t="shared" ref="N414:N416" si="225">VLOOKUP(AI414,$U$413:$AH$416,11)</f>
        <v>-1</v>
      </c>
      <c r="O414" s="16">
        <f t="shared" ref="O414:O416" si="226">VLOOKUP(AI414,$U$413:$AH$416,12)</f>
        <v>0.44444444444444442</v>
      </c>
      <c r="Q414" s="40"/>
      <c r="R414" s="46"/>
      <c r="S414" s="41" t="s">
        <v>35</v>
      </c>
      <c r="T414" s="41"/>
      <c r="U414" s="45">
        <v>2</v>
      </c>
      <c r="V414" s="44" t="str">
        <f>IF(OR('1ª fase'!K73="",'1ª fase'!M73=""),"VENCEDOR J51",IF('1ª fase'!K73&gt;'1ª fase'!M73,'1ª fase'!C73,'1ª fase'!N73))</f>
        <v>The Snipers F.C.</v>
      </c>
      <c r="W414" s="44">
        <f>COUNT(H422,H427,F434)</f>
        <v>3</v>
      </c>
      <c r="X414" s="44">
        <f>SUM(Q422,Q427,C434)</f>
        <v>6</v>
      </c>
      <c r="Y414" s="44">
        <f t="shared" ref="Y414:Y416" si="227">SUM(COUNTIFS($C$418:$C$434,3,$D$418:$D$434,V414),COUNTIFS($I$418:$I$434,V414,$Q$418:$Q$434,3))</f>
        <v>2</v>
      </c>
      <c r="Z414" s="44">
        <f t="shared" ref="Z414:Z416" si="228">SUM(COUNTIFS($C$418:$C$434,2,$D$418:$D$434,V414),COUNTIFS($I$418:$I$434,V414,$Q$418:$Q$434,2))</f>
        <v>0</v>
      </c>
      <c r="AA414" s="44">
        <f t="shared" ref="AA414:AA416" si="229">SUM(COUNTIFS($C$418:$C$434,1,$D$418:$D$434,V414),COUNTIFS($I$418:$I$434,V414,$Q$418:$Q$434,1))</f>
        <v>0</v>
      </c>
      <c r="AB414" s="44">
        <f t="shared" ref="AB414:AB416" si="230">SUM(COUNTIFS($C$418:$C$434,0,$D$418:$D$434,V414),COUNTIFS($I$418:$I$434,V414,$Q$418:$Q$434,0))</f>
        <v>1</v>
      </c>
      <c r="AC414" s="121">
        <f>SUM(H422,H427,F434)</f>
        <v>166</v>
      </c>
      <c r="AD414" s="121">
        <f>SUM(H434,F427,F422)</f>
        <v>145</v>
      </c>
      <c r="AE414" s="121">
        <f t="shared" ref="AE414:AE416" si="231">AC414-AD414</f>
        <v>21</v>
      </c>
      <c r="AF414" s="121">
        <f t="shared" ref="AF414:AF416" si="232">IF(OR($F$101="",$H$101=""),0,(X414/(W414*3)))</f>
        <v>0.66666666666666663</v>
      </c>
      <c r="AG414" s="44">
        <f t="shared" ref="AG414:AG416" si="233">(X414*10^10)+((AC414+5000)*10^6)+AE414*10+U414</f>
        <v>65166000212</v>
      </c>
      <c r="AH414" s="44">
        <f t="shared" ref="AH414:AH416" si="234">LARGE($AG$413:$AG$416,U414)</f>
        <v>45113999994</v>
      </c>
      <c r="AI414" s="90">
        <f t="shared" ref="AI414:AI416" si="235">MATCH(AH414,$AG$413:$AG$416,0)</f>
        <v>4</v>
      </c>
      <c r="AJ414" s="44"/>
      <c r="AK414" s="44"/>
    </row>
    <row r="415" spans="3:37" ht="15.75" thickBot="1">
      <c r="C415" s="40">
        <f>IF(OR(F415="",H415=""),"",IF(F415=H415,1,IF(F415&lt;H415,0,IF(F415-H415&lt;10,2,IF(F415&gt;H415,3,SE)))))</f>
        <v>2</v>
      </c>
      <c r="D415" s="30" t="s">
        <v>16</v>
      </c>
      <c r="E415" s="34" t="str">
        <f t="shared" si="216"/>
        <v>Starmalas.F.C.</v>
      </c>
      <c r="F415" s="34">
        <f t="shared" si="217"/>
        <v>3</v>
      </c>
      <c r="G415" s="34">
        <f t="shared" si="218"/>
        <v>3</v>
      </c>
      <c r="H415" s="35">
        <f t="shared" si="219"/>
        <v>1</v>
      </c>
      <c r="I415" s="35">
        <f t="shared" si="220"/>
        <v>0</v>
      </c>
      <c r="J415" s="35">
        <f t="shared" si="221"/>
        <v>0</v>
      </c>
      <c r="K415" s="35">
        <f t="shared" si="222"/>
        <v>2</v>
      </c>
      <c r="L415" s="35">
        <f t="shared" si="223"/>
        <v>142</v>
      </c>
      <c r="M415" s="35">
        <f t="shared" si="224"/>
        <v>144</v>
      </c>
      <c r="N415" s="34">
        <f t="shared" si="225"/>
        <v>-2</v>
      </c>
      <c r="O415" s="36">
        <f t="shared" si="226"/>
        <v>0.33333333333333331</v>
      </c>
      <c r="Q415" s="40"/>
      <c r="R415" s="47"/>
      <c r="S415" s="19" t="s">
        <v>38</v>
      </c>
      <c r="T415" s="41"/>
      <c r="U415" s="45">
        <v>3</v>
      </c>
      <c r="V415" s="44" t="str">
        <f>IF(OR('1ª fase'!K72="",'1ª fase'!M72=""),"VENCEDOR J50",IF('1ª fase'!K72&gt;'1ª fase'!M72,'1ª fase'!C72,'1ª fase'!N72))</f>
        <v>Kit Ramsey FC</v>
      </c>
      <c r="W415" s="44">
        <f>COUNT(H433,F428,F422)</f>
        <v>3</v>
      </c>
      <c r="X415" s="44">
        <f>SUM(C422,C428,Q433)</f>
        <v>2</v>
      </c>
      <c r="Y415" s="44">
        <f t="shared" si="227"/>
        <v>0</v>
      </c>
      <c r="Z415" s="44">
        <f t="shared" si="228"/>
        <v>1</v>
      </c>
      <c r="AA415" s="44">
        <f t="shared" si="229"/>
        <v>0</v>
      </c>
      <c r="AB415" s="44">
        <f t="shared" si="230"/>
        <v>2</v>
      </c>
      <c r="AC415" s="121">
        <f>SUM(H433,F428,F422)</f>
        <v>125</v>
      </c>
      <c r="AD415" s="121">
        <f>SUM(H422,H428,F433)</f>
        <v>143</v>
      </c>
      <c r="AE415" s="121">
        <f t="shared" si="231"/>
        <v>-18</v>
      </c>
      <c r="AF415" s="121">
        <f t="shared" si="232"/>
        <v>0.22222222222222221</v>
      </c>
      <c r="AG415" s="44">
        <f t="shared" si="233"/>
        <v>25124999823</v>
      </c>
      <c r="AH415" s="44">
        <f t="shared" si="234"/>
        <v>35141999981</v>
      </c>
      <c r="AI415" s="90">
        <f t="shared" si="235"/>
        <v>1</v>
      </c>
      <c r="AJ415" s="44"/>
      <c r="AK415" s="44"/>
    </row>
    <row r="416" spans="3:37" ht="15.75" thickBot="1">
      <c r="C416" s="40">
        <f>IF(OR(F416="",H416=""),"",IF(F416=H416,1,IF(F416&lt;H416,0,IF(F416-H416&lt;10,2,IF(F416&gt;H416,3,SE)))))</f>
        <v>2</v>
      </c>
      <c r="D416" s="12" t="s">
        <v>17</v>
      </c>
      <c r="E416" s="37" t="str">
        <f t="shared" si="216"/>
        <v>Kit Ramsey FC</v>
      </c>
      <c r="F416" s="37">
        <f t="shared" si="217"/>
        <v>3</v>
      </c>
      <c r="G416" s="37">
        <f t="shared" si="218"/>
        <v>2</v>
      </c>
      <c r="H416" s="38">
        <f t="shared" si="219"/>
        <v>0</v>
      </c>
      <c r="I416" s="38">
        <f t="shared" si="220"/>
        <v>1</v>
      </c>
      <c r="J416" s="38">
        <f t="shared" si="221"/>
        <v>0</v>
      </c>
      <c r="K416" s="38">
        <f t="shared" si="222"/>
        <v>2</v>
      </c>
      <c r="L416" s="38">
        <f t="shared" si="223"/>
        <v>125</v>
      </c>
      <c r="M416" s="38">
        <f t="shared" si="224"/>
        <v>143</v>
      </c>
      <c r="N416" s="37">
        <f t="shared" si="225"/>
        <v>-18</v>
      </c>
      <c r="O416" s="39">
        <f t="shared" si="226"/>
        <v>0.22222222222222221</v>
      </c>
      <c r="Q416" s="40"/>
      <c r="R416" s="48"/>
      <c r="S416" s="41" t="s">
        <v>37</v>
      </c>
      <c r="T416" s="41"/>
      <c r="U416" s="45">
        <v>4</v>
      </c>
      <c r="V416" s="44" t="str">
        <f>IF(OR('1ª fase'!K71="",'1ª fase'!M71=""),"VENCEDOR J49",IF('1ª fase'!K71&gt;'1ª fase'!M71,'1ª fase'!C71,'1ª fase'!N71))</f>
        <v>Star Champions</v>
      </c>
      <c r="W416" s="44">
        <f>COUNT(H433,H427,H421)</f>
        <v>3</v>
      </c>
      <c r="X416" s="44">
        <f>SUM(C421,C427,C433)</f>
        <v>4</v>
      </c>
      <c r="Y416" s="44">
        <f t="shared" si="227"/>
        <v>0</v>
      </c>
      <c r="Z416" s="44">
        <f t="shared" si="228"/>
        <v>2</v>
      </c>
      <c r="AA416" s="44">
        <f t="shared" si="229"/>
        <v>0</v>
      </c>
      <c r="AB416" s="44">
        <f t="shared" si="230"/>
        <v>1</v>
      </c>
      <c r="AC416" s="121">
        <f>SUM(F421,F427,F433)</f>
        <v>114</v>
      </c>
      <c r="AD416" s="121">
        <f>SUM(H433,H427,H421)</f>
        <v>115</v>
      </c>
      <c r="AE416" s="121">
        <f t="shared" si="231"/>
        <v>-1</v>
      </c>
      <c r="AF416" s="121">
        <f t="shared" si="232"/>
        <v>0.44444444444444442</v>
      </c>
      <c r="AG416" s="44">
        <f t="shared" si="233"/>
        <v>45113999994</v>
      </c>
      <c r="AH416" s="44">
        <f t="shared" si="234"/>
        <v>25124999823</v>
      </c>
      <c r="AI416" s="90">
        <f t="shared" si="235"/>
        <v>3</v>
      </c>
      <c r="AJ416" s="44"/>
      <c r="AK416" s="44"/>
    </row>
    <row r="417" spans="3:37" ht="15.75" thickBot="1">
      <c r="C417" s="40" t="str">
        <f>IF(OR(F417="",H417=""),"",IF(F417=H417,1,IF(F417&lt;H417,0,IF(F417-H417&lt;10,2,IF(F417&gt;H417,3,SE)))))</f>
        <v/>
      </c>
      <c r="Q417" s="40" t="str">
        <f>IF(OR(H417="",F417=""),"",IF(H417=F417,1,IF(H417&lt;F417,0,IF(H417-F417&lt;10,2,IF(H417&gt;F417,3,SE)))))</f>
        <v/>
      </c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</row>
    <row r="418" spans="3:37">
      <c r="C418" s="40" t="str">
        <f>IF(OR(F418="",H418=""),"",IF(F418=H418,1,IF(F418&lt;H418,0,IF(F418-H418&lt;10,2,IF(F418&gt;H418,3,SE)))))</f>
        <v/>
      </c>
      <c r="D418" s="198" t="s">
        <v>40</v>
      </c>
      <c r="E418" s="199"/>
      <c r="F418" s="199"/>
      <c r="G418" s="199"/>
      <c r="H418" s="199"/>
      <c r="I418" s="199"/>
      <c r="J418" s="199"/>
      <c r="K418" s="199"/>
      <c r="L418" s="199"/>
      <c r="M418" s="199"/>
      <c r="N418" s="199"/>
      <c r="O418" s="199"/>
      <c r="P418" s="200"/>
      <c r="Q418" s="40" t="str">
        <f>IF(OR(H418="",F418=""),"",IF(H418=F418,1,IF(H418&lt;F418,0,IF(H418-F418&lt;10,2,IF(H418&gt;F418,3,SE)))))</f>
        <v/>
      </c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</row>
    <row r="419" spans="3:37" ht="15.75" thickBot="1">
      <c r="C419" s="40" t="str">
        <f>IF(OR(F419="",H419=""),"",IF(F419=H419,1,IF(F419&lt;H419,0,IF(F419-H419&lt;10,2,IF(F419&gt;H419,3,SE)))))</f>
        <v/>
      </c>
      <c r="D419" s="204"/>
      <c r="E419" s="205"/>
      <c r="F419" s="205"/>
      <c r="G419" s="205"/>
      <c r="H419" s="205"/>
      <c r="I419" s="205"/>
      <c r="J419" s="205"/>
      <c r="K419" s="205"/>
      <c r="L419" s="205"/>
      <c r="M419" s="205"/>
      <c r="N419" s="205"/>
      <c r="O419" s="205"/>
      <c r="P419" s="206"/>
      <c r="Q419" s="40" t="str">
        <f>IF(OR(H419="",F419=""),"",IF(H419=F419,1,IF(H419&lt;F419,0,IF(H419-F419&lt;10,2,IF(H419&gt;F419,3,SE)))))</f>
        <v/>
      </c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</row>
    <row r="420" spans="3:37">
      <c r="C420" s="40" t="str">
        <f>IF(OR(F420="",H420=""),"",IF(F420=H420,1,IF(F420&lt;H420,0,IF(F420-H420&lt;10,2,IF(F420&gt;H420,3,SE)))))</f>
        <v/>
      </c>
      <c r="Q420" s="40" t="str">
        <f>IF(OR(H420="",F420=""),"",IF(H420=F420,1,IF(H420&lt;F420,0,IF(H420-F420&lt;10,2,IF(H420&gt;F420,3,SE)))))</f>
        <v/>
      </c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</row>
    <row r="421" spans="3:37">
      <c r="C421" s="40">
        <f>IF(OR(F421="",H421=""),"",IF(F421=H421,1,IF(F421&lt;H421,0,IF(F421-H421&lt;10,2,IF(F421&gt;H421,3,SE)))))</f>
        <v>2</v>
      </c>
      <c r="D421" s="197" t="str">
        <f>V416</f>
        <v>Star Champions</v>
      </c>
      <c r="E421" s="197"/>
      <c r="F421" s="141">
        <v>45</v>
      </c>
      <c r="G421" s="17" t="s">
        <v>19</v>
      </c>
      <c r="H421" s="140">
        <v>36</v>
      </c>
      <c r="I421" s="197" t="str">
        <f>V413</f>
        <v>Starmalas.F.C.</v>
      </c>
      <c r="J421" s="197"/>
      <c r="K421" s="197"/>
      <c r="L421" s="197"/>
      <c r="M421" s="197"/>
      <c r="N421" s="197"/>
      <c r="O421" s="197"/>
      <c r="P421" s="197"/>
      <c r="Q421" s="40">
        <f>IF(OR(H421="",F421=""),"",IF(H421=F421,1,IF(H421&lt;F421,0,IF(H421-F421&lt;10,2,IF(H421&gt;F421,3,SE)))))</f>
        <v>0</v>
      </c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</row>
    <row r="422" spans="3:37">
      <c r="C422" s="40">
        <f>IF(OR(F422="",H422=""),"",IF(F422=H422,1,IF(F422&lt;H422,0,IF(F422-H422&lt;10,2,IF(F422&gt;H422,3,SE)))))</f>
        <v>2</v>
      </c>
      <c r="D422" s="197" t="str">
        <f>V415</f>
        <v>Kit Ramsey FC</v>
      </c>
      <c r="E422" s="197"/>
      <c r="F422" s="141">
        <v>61</v>
      </c>
      <c r="G422" s="17" t="s">
        <v>19</v>
      </c>
      <c r="H422" s="140">
        <v>52</v>
      </c>
      <c r="I422" s="197" t="str">
        <f>V414</f>
        <v>The Snipers F.C.</v>
      </c>
      <c r="J422" s="197"/>
      <c r="K422" s="197"/>
      <c r="L422" s="197"/>
      <c r="M422" s="197"/>
      <c r="N422" s="197"/>
      <c r="O422" s="197"/>
      <c r="P422" s="197"/>
      <c r="Q422" s="40">
        <f>IF(OR(H422="",F422=""),"",IF(H422=F422,1,IF(H422&lt;F422,0,IF(H422-F422&lt;10,2,IF(H422&gt;F422,3,SE)))))</f>
        <v>0</v>
      </c>
      <c r="R422" s="41"/>
      <c r="S422" s="41"/>
      <c r="T422" s="41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</row>
    <row r="423" spans="3:37" ht="15.75" thickBot="1">
      <c r="C423" s="40" t="str">
        <f>IF(OR(F423="",H423=""),"",IF(F423=H423,1,IF(F423&lt;H423,0,IF(F423-H423&lt;10,2,IF(F423&gt;H423,3,SE)))))</f>
        <v/>
      </c>
      <c r="Q423" s="40" t="str">
        <f>IF(OR(H423="",F423=""),"",IF(H423=F423,1,IF(H423&lt;F423,0,IF(H423-F423&lt;10,2,IF(H423&gt;F423,3,SE)))))</f>
        <v/>
      </c>
      <c r="R423" s="41"/>
      <c r="S423" s="41"/>
      <c r="T423" s="41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</row>
    <row r="424" spans="3:37">
      <c r="C424" s="40" t="str">
        <f>IF(OR(F424="",H424=""),"",IF(F424=H424,1,IF(F424&lt;H424,0,IF(F424-H424&lt;10,2,IF(F424&gt;H424,3,SE)))))</f>
        <v/>
      </c>
      <c r="D424" s="207" t="s">
        <v>41</v>
      </c>
      <c r="E424" s="208"/>
      <c r="F424" s="208"/>
      <c r="G424" s="208"/>
      <c r="H424" s="208"/>
      <c r="I424" s="208"/>
      <c r="J424" s="208"/>
      <c r="K424" s="208"/>
      <c r="L424" s="208"/>
      <c r="M424" s="208"/>
      <c r="N424" s="208"/>
      <c r="O424" s="208"/>
      <c r="P424" s="209"/>
      <c r="Q424" s="40" t="str">
        <f>IF(OR(H424="",F424=""),"",IF(H424=F424,1,IF(H424&lt;F424,0,IF(H424-F424&lt;10,2,IF(H424&gt;F424,3,SE)))))</f>
        <v/>
      </c>
      <c r="R424" s="41"/>
      <c r="S424" s="41"/>
      <c r="T424" s="41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</row>
    <row r="425" spans="3:37" ht="15.75" thickBot="1">
      <c r="C425" s="40" t="str">
        <f>IF(OR(F425="",H425=""),"",IF(F425=H425,1,IF(F425&lt;H425,0,IF(F425-H425&lt;10,2,IF(F425&gt;H425,3,SE)))))</f>
        <v/>
      </c>
      <c r="D425" s="210"/>
      <c r="E425" s="211"/>
      <c r="F425" s="211"/>
      <c r="G425" s="211"/>
      <c r="H425" s="211"/>
      <c r="I425" s="211"/>
      <c r="J425" s="211"/>
      <c r="K425" s="211"/>
      <c r="L425" s="211"/>
      <c r="M425" s="211"/>
      <c r="N425" s="211"/>
      <c r="O425" s="211"/>
      <c r="P425" s="212"/>
      <c r="Q425" s="40" t="str">
        <f>IF(OR(H425="",F425=""),"",IF(H425=F425,1,IF(H425&lt;F425,0,IF(H425-F425&lt;10,2,IF(H425&gt;F425,3,SE)))))</f>
        <v/>
      </c>
      <c r="R425" s="41"/>
      <c r="S425" s="41"/>
      <c r="T425" s="41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</row>
    <row r="426" spans="3:37">
      <c r="C426" s="40" t="str">
        <f>IF(OR(F426="",H426=""),"",IF(F426=H426,1,IF(F426&lt;H426,0,IF(F426-H426&lt;10,2,IF(F426&gt;H426,3,SE)))))</f>
        <v/>
      </c>
      <c r="Q426" s="40" t="str">
        <f>IF(OR(H426="",F426=""),"",IF(H426=F426,1,IF(H426&lt;F426,0,IF(H426-F426&lt;10,2,IF(H426&gt;F426,3,SE)))))</f>
        <v/>
      </c>
      <c r="R426" s="41"/>
      <c r="S426" s="41"/>
      <c r="T426" s="41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</row>
    <row r="427" spans="3:37">
      <c r="C427" s="40">
        <f>IF(OR(F427="",H427=""),"",IF(F427=H427,1,IF(F427&lt;H427,0,IF(F427-H427&lt;10,2,IF(F427&gt;H427,3,SE)))))</f>
        <v>0</v>
      </c>
      <c r="D427" s="197" t="str">
        <f>V416</f>
        <v>Star Champions</v>
      </c>
      <c r="E427" s="197"/>
      <c r="F427" s="140">
        <v>49</v>
      </c>
      <c r="G427" s="18" t="s">
        <v>19</v>
      </c>
      <c r="H427" s="141">
        <v>65</v>
      </c>
      <c r="I427" s="197" t="str">
        <f>V414</f>
        <v>The Snipers F.C.</v>
      </c>
      <c r="J427" s="197"/>
      <c r="K427" s="197"/>
      <c r="L427" s="197"/>
      <c r="M427" s="197"/>
      <c r="N427" s="197"/>
      <c r="O427" s="197"/>
      <c r="P427" s="197"/>
      <c r="Q427" s="40">
        <f>IF(OR(H427="",F427=""),"",IF(H427=F427,1,IF(H427&lt;F427,0,IF(H427-F427&lt;10,2,IF(H427&gt;F427,3,SE)))))</f>
        <v>3</v>
      </c>
      <c r="R427" s="41"/>
      <c r="S427" s="41"/>
      <c r="T427" s="41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</row>
    <row r="428" spans="3:37">
      <c r="C428" s="40">
        <f>IF(OR(F428="",H428=""),"",IF(F428=H428,1,IF(F428&lt;H428,0,IF(F428-H428&lt;10,2,IF(F428&gt;H428,3,SE)))))</f>
        <v>0</v>
      </c>
      <c r="D428" s="197" t="str">
        <f>V415</f>
        <v>Kit Ramsey FC</v>
      </c>
      <c r="E428" s="197"/>
      <c r="F428" s="140">
        <v>50</v>
      </c>
      <c r="G428" s="18" t="s">
        <v>19</v>
      </c>
      <c r="H428" s="141">
        <v>71</v>
      </c>
      <c r="I428" s="197" t="str">
        <f>V413</f>
        <v>Starmalas.F.C.</v>
      </c>
      <c r="J428" s="197"/>
      <c r="K428" s="197"/>
      <c r="L428" s="197"/>
      <c r="M428" s="197"/>
      <c r="N428" s="197"/>
      <c r="O428" s="197"/>
      <c r="P428" s="197"/>
      <c r="Q428" s="40">
        <f>IF(OR(H428="",F428=""),"",IF(H428=F428,1,IF(H428&lt;F428,0,IF(H428-F428&lt;10,2,IF(H428&gt;F428,3,SE)))))</f>
        <v>3</v>
      </c>
      <c r="R428" s="41"/>
      <c r="S428" s="41"/>
      <c r="T428" s="41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</row>
    <row r="429" spans="3:37" ht="15.75" thickBot="1">
      <c r="C429" s="40" t="str">
        <f>IF(OR(F429="",H429=""),"",IF(F429=H429,1,IF(F429&lt;H429,0,IF(F429-H429&lt;10,2,IF(F429&gt;H429,3,SE)))))</f>
        <v/>
      </c>
      <c r="F429" s="20"/>
      <c r="Q429" s="40" t="str">
        <f>IF(OR(H429="",F429=""),"",IF(H429=F429,1,IF(H429&lt;F429,0,IF(H429-F429&lt;10,2,IF(H429&gt;F429,3,SE)))))</f>
        <v/>
      </c>
      <c r="R429" s="41"/>
      <c r="S429" s="41"/>
      <c r="T429" s="41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</row>
    <row r="430" spans="3:37">
      <c r="C430" s="40" t="str">
        <f>IF(OR(F430="",H430=""),"",IF(F430=H430,1,IF(F430&lt;H430,0,IF(F430-H430&lt;10,2,IF(F430&gt;H430,3,SE)))))</f>
        <v/>
      </c>
      <c r="D430" s="207" t="s">
        <v>42</v>
      </c>
      <c r="E430" s="208"/>
      <c r="F430" s="208"/>
      <c r="G430" s="208"/>
      <c r="H430" s="208"/>
      <c r="I430" s="208"/>
      <c r="J430" s="208"/>
      <c r="K430" s="208"/>
      <c r="L430" s="208"/>
      <c r="M430" s="208"/>
      <c r="N430" s="208"/>
      <c r="O430" s="208"/>
      <c r="P430" s="209"/>
      <c r="Q430" s="40" t="str">
        <f>IF(OR(H430="",F430=""),"",IF(H430=F430,1,IF(H430&lt;F430,0,IF(H430-F430&lt;10,2,IF(H430&gt;F430,3,SE)))))</f>
        <v/>
      </c>
      <c r="R430" s="41"/>
      <c r="S430" s="41"/>
      <c r="T430" s="41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</row>
    <row r="431" spans="3:37" ht="15.75" thickBot="1">
      <c r="C431" s="40" t="str">
        <f>IF(OR(F431="",H431=""),"",IF(F431=H431,1,IF(F431&lt;H431,0,IF(F431-H431&lt;10,2,IF(F431&gt;H431,3,SE)))))</f>
        <v/>
      </c>
      <c r="D431" s="210"/>
      <c r="E431" s="211"/>
      <c r="F431" s="211"/>
      <c r="G431" s="211"/>
      <c r="H431" s="211"/>
      <c r="I431" s="211"/>
      <c r="J431" s="211"/>
      <c r="K431" s="211"/>
      <c r="L431" s="211"/>
      <c r="M431" s="211"/>
      <c r="N431" s="211"/>
      <c r="O431" s="211"/>
      <c r="P431" s="212"/>
      <c r="Q431" s="40" t="str">
        <f>IF(OR(H431="",F431=""),"",IF(H431=F431,1,IF(H431&lt;F431,0,IF(H431-F431&lt;10,2,IF(H431&gt;F431,3,SE)))))</f>
        <v/>
      </c>
      <c r="R431" s="41"/>
      <c r="S431" s="41"/>
      <c r="T431" s="41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</row>
    <row r="432" spans="3:37">
      <c r="C432" s="40" t="str">
        <f>IF(OR(F432="",H432=""),"",IF(F432=H432,1,IF(F432&lt;H432,0,IF(F432-H432&lt;10,2,IF(F432&gt;H432,3,SE)))))</f>
        <v/>
      </c>
      <c r="Q432" s="40" t="str">
        <f>IF(OR(H432="",F432=""),"",IF(H432=F432,1,IF(H432&lt;F432,0,IF(H432-F432&lt;10,2,IF(H432&gt;F432,3,SE)))))</f>
        <v/>
      </c>
      <c r="R432" s="41"/>
      <c r="S432" s="41"/>
      <c r="T432" s="41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</row>
    <row r="433" spans="3:37">
      <c r="C433" s="40">
        <f>IF(OR(F433="",H433=""),"",IF(F433=H433,1,IF(F433&lt;H433,0,IF(F433-H433&lt;10,2,IF(F433&gt;H433,3,SE)))))</f>
        <v>2</v>
      </c>
      <c r="D433" s="197" t="str">
        <f>V416</f>
        <v>Star Champions</v>
      </c>
      <c r="E433" s="197"/>
      <c r="F433" s="141">
        <v>20</v>
      </c>
      <c r="G433" s="18" t="s">
        <v>19</v>
      </c>
      <c r="H433" s="140">
        <v>14</v>
      </c>
      <c r="I433" s="197" t="str">
        <f>V415</f>
        <v>Kit Ramsey FC</v>
      </c>
      <c r="J433" s="197"/>
      <c r="K433" s="197"/>
      <c r="L433" s="197"/>
      <c r="M433" s="197"/>
      <c r="N433" s="197"/>
      <c r="O433" s="197"/>
      <c r="P433" s="197"/>
      <c r="Q433" s="40">
        <f>IF(OR(H433="",F433=""),"",IF(H433=F433,1,IF(H433&lt;F433,0,IF(H433-F433&lt;10,2,IF(H433&gt;F433,3,SE)))))</f>
        <v>0</v>
      </c>
      <c r="R433" s="41"/>
      <c r="S433" s="41"/>
      <c r="T433" s="41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</row>
    <row r="434" spans="3:37">
      <c r="C434" s="40">
        <f>IF(OR(F434="",H434=""),"",IF(F434=H434,1,IF(F434&lt;H434,0,IF(F434-H434&lt;10,2,IF(F434&gt;H434,3,SE)))))</f>
        <v>3</v>
      </c>
      <c r="D434" s="197" t="str">
        <f>V414</f>
        <v>The Snipers F.C.</v>
      </c>
      <c r="E434" s="197"/>
      <c r="F434" s="141">
        <v>49</v>
      </c>
      <c r="G434" s="18" t="s">
        <v>19</v>
      </c>
      <c r="H434" s="140">
        <v>35</v>
      </c>
      <c r="I434" s="197" t="str">
        <f>V413</f>
        <v>Starmalas.F.C.</v>
      </c>
      <c r="J434" s="197"/>
      <c r="K434" s="197"/>
      <c r="L434" s="197"/>
      <c r="M434" s="197"/>
      <c r="N434" s="197"/>
      <c r="O434" s="197"/>
      <c r="P434" s="197"/>
      <c r="Q434" s="40">
        <f>IF(OR(H434="",F434=""),"",IF(H434=F434,1,IF(H434&lt;F434,0,IF(H434-F434&lt;10,2,IF(H434&gt;F434,3,SE)))))</f>
        <v>0</v>
      </c>
      <c r="R434" s="41"/>
      <c r="S434" s="41"/>
      <c r="T434" s="41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</row>
    <row r="435" spans="3:37">
      <c r="C435" s="40" t="str">
        <f>IF(OR(F435="",H435=""),"",IF(F435=H435,1,IF(F435&lt;H435,0,IF(F435-H435&lt;10,2,IF(F435&gt;H435,3,SE)))))</f>
        <v/>
      </c>
      <c r="Q435" s="40" t="str">
        <f>IF(OR(H435="",F435=""),"",IF(H435=F435,1,IF(H435&lt;F435,0,IF(H435-F435&lt;10,2,IF(H435&gt;F435,3,SE)))))</f>
        <v/>
      </c>
      <c r="R435" s="41"/>
      <c r="S435" s="41"/>
      <c r="T435" s="41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</row>
    <row r="436" spans="3:37">
      <c r="C436" s="40" t="str">
        <f>IF(OR(F436="",H436=""),"",IF(F436=H436,1,IF(F436&lt;H436,0,IF(F436-H436&lt;10,2,IF(F436&gt;H436,3,SE)))))</f>
        <v/>
      </c>
      <c r="D436" s="21"/>
      <c r="E436" s="21"/>
      <c r="F436" s="22"/>
      <c r="G436" s="23"/>
      <c r="H436" s="22"/>
      <c r="I436" s="21"/>
      <c r="J436" s="21"/>
      <c r="K436" s="21"/>
      <c r="L436" s="21"/>
      <c r="M436" s="21"/>
      <c r="N436" s="21"/>
      <c r="O436" s="21"/>
      <c r="P436" s="21"/>
      <c r="Q436" s="40"/>
      <c r="R436" s="41" t="s">
        <v>5</v>
      </c>
      <c r="S436" s="43"/>
      <c r="T436" s="41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</row>
    <row r="437" spans="3:37">
      <c r="C437" s="40" t="str">
        <f>IF(OR(F437="",H437=""),"",IF(F437=H437,1,IF(F437&lt;H437,0,IF(F437-H437&lt;10,2,IF(F437&gt;H437,3,SE)))))</f>
        <v/>
      </c>
      <c r="D437" s="21"/>
      <c r="E437" s="21"/>
      <c r="F437" s="22"/>
      <c r="G437" s="23"/>
      <c r="H437" s="22"/>
      <c r="I437" s="21"/>
      <c r="J437" s="21"/>
      <c r="K437" s="21"/>
      <c r="L437" s="21"/>
      <c r="M437" s="21"/>
      <c r="N437" s="21"/>
      <c r="O437" s="21"/>
      <c r="P437" s="21"/>
      <c r="Q437" s="40"/>
      <c r="R437" s="41" t="s">
        <v>14</v>
      </c>
      <c r="S437" s="43"/>
      <c r="T437" s="41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</row>
    <row r="438" spans="3:37">
      <c r="C438" s="40" t="str">
        <f>IF(OR(F438="",H438=""),"",IF(F438=H438,1,IF(F438&lt;H438,0,IF(F438-H438&lt;10,2,IF(F438&gt;H438,3,SE)))))</f>
        <v/>
      </c>
      <c r="D438" s="21"/>
      <c r="E438" s="21"/>
      <c r="F438" s="22"/>
      <c r="G438" s="23"/>
      <c r="H438" s="22"/>
      <c r="I438" s="21"/>
      <c r="J438" s="21"/>
      <c r="K438" s="21"/>
      <c r="L438" s="21"/>
      <c r="M438" s="21"/>
      <c r="N438" s="21"/>
      <c r="O438" s="21"/>
      <c r="P438" s="21"/>
      <c r="Q438" s="40"/>
      <c r="R438" s="41" t="s">
        <v>28</v>
      </c>
      <c r="T438" s="41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</row>
    <row r="439" spans="3:37">
      <c r="C439" s="40" t="str">
        <f>IF(OR(F439="",H439=""),"",IF(F439=H439,1,IF(F439&lt;H439,0,IF(F439-H439&lt;10,2,IF(F439&gt;H439,3,SE)))))</f>
        <v/>
      </c>
      <c r="D439" s="21"/>
      <c r="E439" s="21"/>
      <c r="F439" s="22"/>
      <c r="G439" s="23"/>
      <c r="H439" s="22"/>
      <c r="I439" s="21"/>
      <c r="J439" s="21"/>
      <c r="K439" s="21"/>
      <c r="L439" s="21"/>
      <c r="M439" s="21"/>
      <c r="N439" s="21"/>
      <c r="O439" s="21"/>
      <c r="P439" s="21"/>
      <c r="Q439" s="40"/>
      <c r="R439" s="41" t="s">
        <v>29</v>
      </c>
      <c r="S439" s="41"/>
      <c r="T439" s="41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</row>
    <row r="440" spans="3:37">
      <c r="C440" s="40" t="str">
        <f>IF(OR(F440="",H440=""),"",IF(F440=H440,1,IF(F440&lt;H440,0,IF(F440-H440&lt;10,2,IF(F440&gt;H440,3,SE)))))</f>
        <v/>
      </c>
      <c r="D440" s="21"/>
      <c r="E440" s="21"/>
      <c r="F440" s="22"/>
      <c r="G440" s="23"/>
      <c r="H440" s="22"/>
      <c r="I440" s="21"/>
      <c r="J440" s="21"/>
      <c r="K440" s="21"/>
      <c r="L440" s="21"/>
      <c r="M440" s="21"/>
      <c r="N440" s="21"/>
      <c r="O440" s="21"/>
      <c r="P440" s="21"/>
      <c r="Q440" s="40"/>
      <c r="R440" s="41" t="s">
        <v>30</v>
      </c>
      <c r="S440" s="41"/>
      <c r="T440" s="41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</row>
    <row r="441" spans="3:37" ht="15.75" thickBot="1">
      <c r="C441" s="40" t="str">
        <f>IF(OR(F441="",H441=""),"",IF(F441=H441,1,IF(F441&lt;H441,0,IF(F441-H441&lt;10,2,IF(F441&gt;H441,3,SE)))))</f>
        <v/>
      </c>
      <c r="Q441" s="40" t="str">
        <f>IF(OR(H441="",F441=""),"",IF(H441=F441,1,IF(H441&lt;F441,0,IF(H441-F441&lt;10,2,IF(H441&gt;F441,3,SE)))))</f>
        <v/>
      </c>
      <c r="R441" s="41" t="s">
        <v>31</v>
      </c>
      <c r="S441" s="41"/>
      <c r="T441" s="41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</row>
    <row r="442" spans="3:37" ht="15" customHeight="1">
      <c r="C442" s="40" t="str">
        <f>IF(OR(F442="",H442=""),"",IF(F442=H442,1,IF(F442&lt;H442,0,IF(F442-H442&lt;10,2,IF(F442&gt;H442,3,SE)))))</f>
        <v/>
      </c>
      <c r="D442" s="198" t="s">
        <v>172</v>
      </c>
      <c r="E442" s="199"/>
      <c r="F442" s="199"/>
      <c r="G442" s="199"/>
      <c r="H442" s="199"/>
      <c r="I442" s="199"/>
      <c r="J442" s="199"/>
      <c r="K442" s="199"/>
      <c r="L442" s="199"/>
      <c r="M442" s="199"/>
      <c r="N442" s="199"/>
      <c r="O442" s="200"/>
      <c r="Q442" s="40" t="str">
        <f>IF(OR(H442="",F442=""),"",IF(H442=F442,1,IF(H442&lt;F442,0,IF(H442-F442&lt;10,2,IF(H442&gt;F442,3,SE)))))</f>
        <v/>
      </c>
      <c r="R442" s="41" t="s">
        <v>32</v>
      </c>
      <c r="S442" s="41"/>
      <c r="T442" s="41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</row>
    <row r="443" spans="3:37" ht="15.75" customHeight="1">
      <c r="C443" s="40" t="str">
        <f>IF(OR(F443="",H443=""),"",IF(F443=H443,1,IF(F443&lt;H443,0,IF(F443-H443&lt;10,2,IF(F443&gt;H443,3,SE)))))</f>
        <v/>
      </c>
      <c r="D443" s="201"/>
      <c r="E443" s="202"/>
      <c r="F443" s="202"/>
      <c r="G443" s="202"/>
      <c r="H443" s="202"/>
      <c r="I443" s="202"/>
      <c r="J443" s="202"/>
      <c r="K443" s="202"/>
      <c r="L443" s="202"/>
      <c r="M443" s="202"/>
      <c r="N443" s="202"/>
      <c r="O443" s="203"/>
      <c r="Q443" s="40" t="str">
        <f>IF(OR(H443="",F443=""),"",IF(H443=F443,1,IF(H443&lt;F443,0,IF(H443-F443&lt;10,2,IF(H443&gt;F443,3,SE)))))</f>
        <v/>
      </c>
      <c r="R443" s="41" t="s">
        <v>33</v>
      </c>
      <c r="S443" s="41"/>
      <c r="T443" s="40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</row>
    <row r="444" spans="3:37" ht="15.75" thickBot="1">
      <c r="C444" s="40">
        <f>IF(OR(F444="",H444=""),"",IF(F444=H444,1,IF(F444&lt;H444,0,IF(F444-H444&lt;10,2,IF(F444&gt;H444,3,SE)))))</f>
        <v>0</v>
      </c>
      <c r="D444" s="24" t="s">
        <v>0</v>
      </c>
      <c r="E444" s="25" t="s">
        <v>1</v>
      </c>
      <c r="F444" s="25" t="s">
        <v>21</v>
      </c>
      <c r="G444" s="25" t="s">
        <v>2</v>
      </c>
      <c r="H444" s="25" t="s">
        <v>22</v>
      </c>
      <c r="I444" s="25" t="s">
        <v>23</v>
      </c>
      <c r="J444" s="25" t="s">
        <v>24</v>
      </c>
      <c r="K444" s="25" t="s">
        <v>25</v>
      </c>
      <c r="L444" s="25" t="s">
        <v>27</v>
      </c>
      <c r="M444" s="25" t="s">
        <v>3</v>
      </c>
      <c r="N444" s="25" t="s">
        <v>4</v>
      </c>
      <c r="O444" s="26" t="s">
        <v>26</v>
      </c>
      <c r="Q444" s="40"/>
      <c r="R444" s="41" t="s">
        <v>18</v>
      </c>
      <c r="S444" s="41"/>
      <c r="T444" s="40"/>
      <c r="U444" s="45" t="s">
        <v>0</v>
      </c>
      <c r="V444" s="45" t="s">
        <v>6</v>
      </c>
      <c r="W444" s="45" t="s">
        <v>21</v>
      </c>
      <c r="X444" s="45" t="s">
        <v>2</v>
      </c>
      <c r="Y444" s="45" t="s">
        <v>22</v>
      </c>
      <c r="Z444" s="45" t="s">
        <v>23</v>
      </c>
      <c r="AA444" s="45" t="s">
        <v>24</v>
      </c>
      <c r="AB444" s="45" t="s">
        <v>25</v>
      </c>
      <c r="AC444" s="45" t="s">
        <v>7</v>
      </c>
      <c r="AD444" s="45" t="s">
        <v>8</v>
      </c>
      <c r="AE444" s="45" t="s">
        <v>9</v>
      </c>
      <c r="AF444" s="45" t="s">
        <v>26</v>
      </c>
      <c r="AG444" s="45" t="s">
        <v>10</v>
      </c>
      <c r="AH444" s="45" t="s">
        <v>11</v>
      </c>
      <c r="AI444" s="45" t="s">
        <v>12</v>
      </c>
      <c r="AJ444" s="44"/>
      <c r="AK444" s="44"/>
    </row>
    <row r="445" spans="3:37" ht="15.75" thickBot="1">
      <c r="C445" s="40">
        <f>IF(OR(F445="",H445=""),"",IF(F445=H445,1,IF(F445&lt;H445,0,IF(F445-H445&lt;10,2,IF(F445&gt;H445,3,SE)))))</f>
        <v>2</v>
      </c>
      <c r="D445" s="8" t="s">
        <v>13</v>
      </c>
      <c r="E445" s="9" t="str">
        <f>VLOOKUP(AI445,$U$445:$AH$448,2)</f>
        <v>PSG Massacre Fc</v>
      </c>
      <c r="F445" s="9">
        <f>VLOOKUP(AI445,$U$445:$AH$448,3)</f>
        <v>3</v>
      </c>
      <c r="G445" s="9">
        <f>VLOOKUP(AI445,$U$445:$AH$448,4)</f>
        <v>6</v>
      </c>
      <c r="H445" s="10">
        <f>VLOOKUP(AI445,$U$445:$AH$448,5)</f>
        <v>0</v>
      </c>
      <c r="I445" s="10">
        <f>VLOOKUP(AI445,$U$445:$AH$448,6)</f>
        <v>3</v>
      </c>
      <c r="J445" s="10">
        <f>VLOOKUP(AI445,$U$445:$AH$448,7)</f>
        <v>0</v>
      </c>
      <c r="K445" s="10">
        <f>VLOOKUP(AI445,$U$445:$AH$448,8)</f>
        <v>0</v>
      </c>
      <c r="L445" s="10">
        <f>VLOOKUP(AI445,$U$445:$AH$448,9)</f>
        <v>146</v>
      </c>
      <c r="M445" s="10">
        <f>VLOOKUP(AI445,$U$445:$AH$448,10)</f>
        <v>125</v>
      </c>
      <c r="N445" s="9">
        <f>VLOOKUP(AI445,$U$445:$AH$448,11)</f>
        <v>21</v>
      </c>
      <c r="O445" s="16">
        <f>VLOOKUP(AI445,$U$445:$AH$448,12)</f>
        <v>0.66666666666666663</v>
      </c>
      <c r="Q445" s="40"/>
      <c r="R445" s="41" t="s">
        <v>34</v>
      </c>
      <c r="S445" s="41"/>
      <c r="T445" s="40"/>
      <c r="U445" s="45">
        <v>1</v>
      </c>
      <c r="V445" s="44" t="str">
        <f>IF(OR('1ª fase'!K78="",'1ª fase'!M78=""),"VENCEDOR J56",IF('1ª fase'!K78&gt;'1ª fase'!M78,'1ª fase'!C78,'1ª fase'!N78))</f>
        <v>PANZA FC</v>
      </c>
      <c r="W445" s="44">
        <f>COUNT(H453,H460,H466)</f>
        <v>3</v>
      </c>
      <c r="X445" s="44">
        <f>SUM(Q453,Q460,Q466)</f>
        <v>5</v>
      </c>
      <c r="Y445" s="44">
        <f>SUM(COUNTIFS($C$450:$C$466,3,$D$450:$D$466,V445),COUNTIFS($I$450:$I$466,V445,$Q$450:$Q$466,3))</f>
        <v>1</v>
      </c>
      <c r="Z445" s="44">
        <f>SUM(COUNTIFS($C$450:$C$466,2,$D$450:$D$466,V445),COUNTIFS($I$450:$I$466,V445,$Q$450:$Q$466,2))</f>
        <v>1</v>
      </c>
      <c r="AA445" s="44">
        <f>SUM(COUNTIFS($C$450:$C$466,1,$D$450:$D$466,V445),COUNTIFS($I$450:$I$466,V445,$Q$450:$Q$466,1))</f>
        <v>0</v>
      </c>
      <c r="AB445" s="44">
        <f>SUM(COUNTIFS($C$450:$C$466,0,$D$450:$D$466,V445),COUNTIFS($I$450:$I$466,V445,$Q$450:$Q$466,0))</f>
        <v>1</v>
      </c>
      <c r="AC445" s="121">
        <f>SUM(H453,H460,H466)</f>
        <v>161</v>
      </c>
      <c r="AD445" s="121">
        <f>SUM(F453,F460,F466)</f>
        <v>149</v>
      </c>
      <c r="AE445" s="121">
        <f>AC445-AD445</f>
        <v>12</v>
      </c>
      <c r="AF445" s="121">
        <f>IF(OR($F$133="",$H$133=""),0,(X445/(W445*3)))</f>
        <v>0.55555555555555558</v>
      </c>
      <c r="AG445" s="44">
        <f>(X445*10^15)+((AC445+5000)*10^6)+AE445*10+U445</f>
        <v>5000005161000121</v>
      </c>
      <c r="AH445" s="44">
        <f>LARGE($AG$445:$AG$448,U445)</f>
        <v>6000005146000213</v>
      </c>
      <c r="AI445" s="90">
        <f>MATCH(AH445,$AG$445:$AG$448,0)</f>
        <v>3</v>
      </c>
      <c r="AJ445" s="44"/>
      <c r="AK445" s="44"/>
    </row>
    <row r="446" spans="3:37" ht="15.75" thickBot="1">
      <c r="C446" s="40">
        <f>IF(OR(F446="",H446=""),"",IF(F446=H446,1,IF(F446&lt;H446,0,IF(F446-H446&lt;10,2,IF(F446&gt;H446,3,SE)))))</f>
        <v>2</v>
      </c>
      <c r="D446" s="11" t="s">
        <v>15</v>
      </c>
      <c r="E446" s="9" t="str">
        <f t="shared" ref="E446:E448" si="236">VLOOKUP(AI446,$U$445:$AH$448,2)</f>
        <v>PANZA FC</v>
      </c>
      <c r="F446" s="9">
        <f t="shared" ref="F446:F448" si="237">VLOOKUP(AI446,$U$445:$AH$448,3)</f>
        <v>3</v>
      </c>
      <c r="G446" s="9">
        <f t="shared" ref="G446:G448" si="238">VLOOKUP(AI446,$U$445:$AH$448,4)</f>
        <v>5</v>
      </c>
      <c r="H446" s="10">
        <f t="shared" ref="H446:H448" si="239">VLOOKUP(AI446,$U$445:$AH$448,5)</f>
        <v>1</v>
      </c>
      <c r="I446" s="10">
        <f t="shared" ref="I446:I448" si="240">VLOOKUP(AI446,$U$445:$AH$448,6)</f>
        <v>1</v>
      </c>
      <c r="J446" s="10">
        <f t="shared" ref="J446:J448" si="241">VLOOKUP(AI446,$U$445:$AH$448,7)</f>
        <v>0</v>
      </c>
      <c r="K446" s="10">
        <f t="shared" ref="K446:K448" si="242">VLOOKUP(AI446,$U$445:$AH$448,8)</f>
        <v>1</v>
      </c>
      <c r="L446" s="10">
        <f t="shared" ref="L446:L448" si="243">VLOOKUP(AI446,$U$445:$AH$448,9)</f>
        <v>161</v>
      </c>
      <c r="M446" s="10">
        <f t="shared" ref="M446:M448" si="244">VLOOKUP(AI446,$U$445:$AH$448,10)</f>
        <v>149</v>
      </c>
      <c r="N446" s="9">
        <f t="shared" ref="N446:N448" si="245">VLOOKUP(AI446,$U$445:$AH$448,11)</f>
        <v>12</v>
      </c>
      <c r="O446" s="16">
        <f t="shared" ref="O446:O448" si="246">VLOOKUP(AI446,$U$445:$AH$448,12)</f>
        <v>0.55555555555555558</v>
      </c>
      <c r="Q446" s="40"/>
      <c r="R446" s="46"/>
      <c r="S446" s="41" t="s">
        <v>35</v>
      </c>
      <c r="T446" s="40"/>
      <c r="U446" s="45">
        <v>2</v>
      </c>
      <c r="V446" s="44" t="str">
        <f>IF(OR('1ª fase'!K77="",'1ª fase'!M77=""),"VENCEDOR J55",IF('1ª fase'!K77&gt;'1ª fase'!M77,'1ª fase'!C77,'1ª fase'!N77))</f>
        <v>Edielson Bamor</v>
      </c>
      <c r="W446" s="44">
        <f>COUNT(H454,H459,F466)</f>
        <v>3</v>
      </c>
      <c r="X446" s="44">
        <f>SUM(Q454,Q459,C466)</f>
        <v>0</v>
      </c>
      <c r="Y446" s="44">
        <f t="shared" ref="Y446:Y448" si="247">SUM(COUNTIFS($C$450:$C$466,3,$D$450:$D$466,V446),COUNTIFS($I$450:$I$466,V446,$Q$450:$Q$466,3))</f>
        <v>0</v>
      </c>
      <c r="Z446" s="44">
        <f t="shared" ref="Z446:Z448" si="248">SUM(COUNTIFS($C$450:$C$466,2,$D$450:$D$466,V446),COUNTIFS($I$450:$I$466,V446,$Q$450:$Q$466,2))</f>
        <v>0</v>
      </c>
      <c r="AA446" s="44">
        <f t="shared" ref="AA446:AA448" si="249">SUM(COUNTIFS($C$450:$C$466,1,$D$450:$D$466,V446),COUNTIFS($I$450:$I$466,V446,$Q$450:$Q$466,1))</f>
        <v>0</v>
      </c>
      <c r="AB446" s="44">
        <f t="shared" ref="AB446:AB448" si="250">SUM(COUNTIFS($C$450:$C$466,0,$D$450:$D$466,V446),COUNTIFS($I$450:$I$466,V446,$Q$450:$Q$466,0))</f>
        <v>3</v>
      </c>
      <c r="AC446" s="121">
        <f>SUM(H454,H459,F466)</f>
        <v>106</v>
      </c>
      <c r="AD446" s="121">
        <f>SUM(H466,F459,F454)</f>
        <v>144</v>
      </c>
      <c r="AE446" s="121">
        <f t="shared" ref="AE446:AE448" si="251">AC446-AD446</f>
        <v>-38</v>
      </c>
      <c r="AF446" s="121">
        <f>IF(OR($F$133="",$H$133=""),0,(X446/(W446*3)))</f>
        <v>0</v>
      </c>
      <c r="AG446" s="44">
        <f t="shared" ref="AG446:AG448" si="252">(X446*10^15)+((AC446+5000)*10^6)+AE446*10+U446</f>
        <v>5105999622</v>
      </c>
      <c r="AH446" s="44">
        <f t="shared" ref="AH446:AH448" si="253">LARGE($AG$445:$AG$448,U446)</f>
        <v>5000005161000121</v>
      </c>
      <c r="AI446" s="90">
        <f t="shared" ref="AI446:AI448" si="254">MATCH(AH446,$AG$445:$AG$448,0)</f>
        <v>1</v>
      </c>
      <c r="AJ446" s="44"/>
      <c r="AK446" s="44"/>
    </row>
    <row r="447" spans="3:37" ht="15.75" thickBot="1">
      <c r="C447" s="40">
        <f>IF(OR(F447="",H447=""),"",IF(F447=H447,1,IF(F447&lt;H447,0,IF(F447-H447&lt;10,2,IF(F447&gt;H447,3,SE)))))</f>
        <v>2</v>
      </c>
      <c r="D447" s="30" t="s">
        <v>16</v>
      </c>
      <c r="E447" s="34" t="str">
        <f t="shared" si="236"/>
        <v>Valquerato</v>
      </c>
      <c r="F447" s="34">
        <f t="shared" si="237"/>
        <v>3</v>
      </c>
      <c r="G447" s="34">
        <f t="shared" si="238"/>
        <v>3</v>
      </c>
      <c r="H447" s="35">
        <f t="shared" si="239"/>
        <v>1</v>
      </c>
      <c r="I447" s="35">
        <f t="shared" si="240"/>
        <v>0</v>
      </c>
      <c r="J447" s="35">
        <f t="shared" si="241"/>
        <v>0</v>
      </c>
      <c r="K447" s="35">
        <f t="shared" si="242"/>
        <v>2</v>
      </c>
      <c r="L447" s="35">
        <f t="shared" si="243"/>
        <v>157</v>
      </c>
      <c r="M447" s="35">
        <f t="shared" si="244"/>
        <v>152</v>
      </c>
      <c r="N447" s="34">
        <f t="shared" si="245"/>
        <v>5</v>
      </c>
      <c r="O447" s="36">
        <f t="shared" si="246"/>
        <v>0.33333333333333331</v>
      </c>
      <c r="Q447" s="40"/>
      <c r="R447" s="47"/>
      <c r="S447" s="19" t="s">
        <v>38</v>
      </c>
      <c r="T447" s="40"/>
      <c r="U447" s="45">
        <v>3</v>
      </c>
      <c r="V447" s="44" t="str">
        <f>IF(OR('1ª fase'!K76="",'1ª fase'!M76=""),"VENCEDOR J54",IF('1ª fase'!K76&gt;'1ª fase'!M76,'1ª fase'!C76,'1ª fase'!N76))</f>
        <v>PSG Massacre Fc</v>
      </c>
      <c r="W447" s="44">
        <f>COUNT(H465,F460,F454)</f>
        <v>3</v>
      </c>
      <c r="X447" s="44">
        <f>SUM(C454,C460,Q465)</f>
        <v>6</v>
      </c>
      <c r="Y447" s="44">
        <f t="shared" si="247"/>
        <v>0</v>
      </c>
      <c r="Z447" s="44">
        <f t="shared" si="248"/>
        <v>3</v>
      </c>
      <c r="AA447" s="44">
        <f t="shared" si="249"/>
        <v>0</v>
      </c>
      <c r="AB447" s="44">
        <f t="shared" si="250"/>
        <v>0</v>
      </c>
      <c r="AC447" s="121">
        <f>SUM(H465,F460,F454)</f>
        <v>146</v>
      </c>
      <c r="AD447" s="121">
        <f>SUM(H454,H460,F465)</f>
        <v>125</v>
      </c>
      <c r="AE447" s="121">
        <f t="shared" si="251"/>
        <v>21</v>
      </c>
      <c r="AF447" s="121">
        <f>IF(OR($F$133="",$H$133=""),0,(X447/(W447*3)))</f>
        <v>0.66666666666666663</v>
      </c>
      <c r="AG447" s="44">
        <f t="shared" si="252"/>
        <v>6000005146000213</v>
      </c>
      <c r="AH447" s="44">
        <f t="shared" si="253"/>
        <v>3000005157000054</v>
      </c>
      <c r="AI447" s="90">
        <f t="shared" si="254"/>
        <v>4</v>
      </c>
      <c r="AJ447" s="44"/>
      <c r="AK447" s="44"/>
    </row>
    <row r="448" spans="3:37" ht="15.75" thickBot="1">
      <c r="C448" s="40">
        <f>IF(OR(F448="",H448=""),"",IF(F448=H448,1,IF(F448&lt;H448,0,IF(F448-H448&lt;10,2,IF(F448&gt;H448,3,SE)))))</f>
        <v>2</v>
      </c>
      <c r="D448" s="12" t="s">
        <v>17</v>
      </c>
      <c r="E448" s="37" t="str">
        <f t="shared" si="236"/>
        <v>Edielson Bamor</v>
      </c>
      <c r="F448" s="37">
        <f t="shared" si="237"/>
        <v>3</v>
      </c>
      <c r="G448" s="37">
        <f t="shared" si="238"/>
        <v>0</v>
      </c>
      <c r="H448" s="38">
        <f t="shared" si="239"/>
        <v>0</v>
      </c>
      <c r="I448" s="38">
        <f t="shared" si="240"/>
        <v>0</v>
      </c>
      <c r="J448" s="38">
        <f t="shared" si="241"/>
        <v>0</v>
      </c>
      <c r="K448" s="38">
        <f t="shared" si="242"/>
        <v>3</v>
      </c>
      <c r="L448" s="38">
        <f t="shared" si="243"/>
        <v>106</v>
      </c>
      <c r="M448" s="38">
        <f t="shared" si="244"/>
        <v>144</v>
      </c>
      <c r="N448" s="37">
        <f t="shared" si="245"/>
        <v>-38</v>
      </c>
      <c r="O448" s="39">
        <f t="shared" si="246"/>
        <v>0</v>
      </c>
      <c r="Q448" s="40"/>
      <c r="R448" s="48"/>
      <c r="S448" s="41" t="s">
        <v>37</v>
      </c>
      <c r="T448" s="40"/>
      <c r="U448" s="45">
        <v>4</v>
      </c>
      <c r="V448" s="44" t="str">
        <f>IF(OR('1ª fase'!K75="",'1ª fase'!M75=""),"VENCEDOR J53",IF('1ª fase'!K75&gt;'1ª fase'!M75,'1ª fase'!C75,'1ª fase'!N75))</f>
        <v>Valquerato</v>
      </c>
      <c r="W448" s="44">
        <f>COUNT(H465,F460,F454)</f>
        <v>3</v>
      </c>
      <c r="X448" s="44">
        <f>SUM(C453,C459,C465)</f>
        <v>3</v>
      </c>
      <c r="Y448" s="44">
        <f t="shared" si="247"/>
        <v>1</v>
      </c>
      <c r="Z448" s="44">
        <f t="shared" si="248"/>
        <v>0</v>
      </c>
      <c r="AA448" s="44">
        <f t="shared" si="249"/>
        <v>0</v>
      </c>
      <c r="AB448" s="44">
        <f t="shared" si="250"/>
        <v>2</v>
      </c>
      <c r="AC448" s="121">
        <f>SUM(F453,F459,F465)</f>
        <v>157</v>
      </c>
      <c r="AD448" s="121">
        <f>SUM(,H465,H459,H453)</f>
        <v>152</v>
      </c>
      <c r="AE448" s="121">
        <f t="shared" si="251"/>
        <v>5</v>
      </c>
      <c r="AF448" s="121">
        <f>IF(OR($F$133="",$H$133=""),0,(X448/(W448*3)))</f>
        <v>0.33333333333333331</v>
      </c>
      <c r="AG448" s="44">
        <f t="shared" si="252"/>
        <v>3000005157000054</v>
      </c>
      <c r="AH448" s="44">
        <f t="shared" si="253"/>
        <v>5105999622</v>
      </c>
      <c r="AI448" s="90">
        <f t="shared" si="254"/>
        <v>2</v>
      </c>
      <c r="AJ448" s="44"/>
      <c r="AK448" s="44"/>
    </row>
    <row r="449" spans="3:37" ht="15.75" thickBot="1">
      <c r="C449" s="40" t="str">
        <f>IF(OR(F449="",H449=""),"",IF(F449=H449,1,IF(F449&lt;H449,0,IF(F449-H449&lt;10,2,IF(F449&gt;H449,3,SE)))))</f>
        <v/>
      </c>
      <c r="Q449" s="40" t="str">
        <f>IF(OR(H449="",F449=""),"",IF(H449=F449,1,IF(H449&lt;F449,0,IF(H449-F449&lt;10,2,IF(H449&gt;F449,3,SE)))))</f>
        <v/>
      </c>
      <c r="T449" s="40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</row>
    <row r="450" spans="3:37">
      <c r="C450" s="40" t="str">
        <f>IF(OR(F450="",H450=""),"",IF(F450=H450,1,IF(F450&lt;H450,0,IF(F450-H450&lt;10,2,IF(F450&gt;H450,3,SE)))))</f>
        <v/>
      </c>
      <c r="D450" s="198" t="s">
        <v>160</v>
      </c>
      <c r="E450" s="199"/>
      <c r="F450" s="199"/>
      <c r="G450" s="199"/>
      <c r="H450" s="199"/>
      <c r="I450" s="199"/>
      <c r="J450" s="199"/>
      <c r="K450" s="199"/>
      <c r="L450" s="199"/>
      <c r="M450" s="199"/>
      <c r="N450" s="199"/>
      <c r="O450" s="199"/>
      <c r="P450" s="200"/>
      <c r="Q450" s="40" t="str">
        <f>IF(OR(H450="",F450=""),"",IF(H450=F450,1,IF(H450&lt;F450,0,IF(H450-F450&lt;10,2,IF(H450&gt;F450,3,SE)))))</f>
        <v/>
      </c>
      <c r="T450" s="40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</row>
    <row r="451" spans="3:37" ht="15.75" thickBot="1">
      <c r="C451" s="40" t="str">
        <f>IF(OR(F451="",H451=""),"",IF(F451=H451,1,IF(F451&lt;H451,0,IF(F451-H451&lt;10,2,IF(F451&gt;H451,3,SE)))))</f>
        <v/>
      </c>
      <c r="D451" s="204"/>
      <c r="E451" s="205"/>
      <c r="F451" s="205"/>
      <c r="G451" s="205"/>
      <c r="H451" s="205"/>
      <c r="I451" s="205"/>
      <c r="J451" s="205"/>
      <c r="K451" s="205"/>
      <c r="L451" s="205"/>
      <c r="M451" s="205"/>
      <c r="N451" s="205"/>
      <c r="O451" s="205"/>
      <c r="P451" s="206"/>
      <c r="Q451" s="40" t="str">
        <f>IF(OR(H451="",F451=""),"",IF(H451=F451,1,IF(H451&lt;F451,0,IF(H451-F451&lt;10,2,IF(H451&gt;F451,3,SE)))))</f>
        <v/>
      </c>
      <c r="T451" s="40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</row>
    <row r="452" spans="3:37">
      <c r="C452" s="40" t="str">
        <f>IF(OR(F452="",H452=""),"",IF(F452=H452,1,IF(F452&lt;H452,0,IF(F452-H452&lt;10,2,IF(F452&gt;H452,3,SE)))))</f>
        <v/>
      </c>
      <c r="Q452" s="40" t="str">
        <f>IF(OR(H452="",F452=""),"",IF(H452=F452,1,IF(H452&lt;F452,0,IF(H452-F452&lt;10,2,IF(H452&gt;F452,3,SE)))))</f>
        <v/>
      </c>
      <c r="T452" s="40"/>
      <c r="V452" s="44"/>
      <c r="W452" s="44"/>
      <c r="X452" s="45"/>
      <c r="Y452" s="45"/>
      <c r="Z452" s="45"/>
      <c r="AA452" s="45"/>
      <c r="AB452" s="44"/>
      <c r="AC452" s="44"/>
      <c r="AD452" s="44"/>
      <c r="AE452" s="44"/>
      <c r="AF452" s="44"/>
      <c r="AG452" s="44"/>
      <c r="AH452" s="44"/>
      <c r="AI452" s="44"/>
      <c r="AJ452" s="44"/>
    </row>
    <row r="453" spans="3:37">
      <c r="C453" s="40">
        <f>IF(OR(F453="",H453=""),"",IF(F453=H453,1,IF(F453&lt;H453,0,IF(F453-H453&lt;10,2,IF(F453&gt;H453,3,SE)))))</f>
        <v>0</v>
      </c>
      <c r="D453" s="197" t="str">
        <f>V448</f>
        <v>Valquerato</v>
      </c>
      <c r="E453" s="197"/>
      <c r="F453" s="140">
        <v>66</v>
      </c>
      <c r="G453" s="17" t="s">
        <v>19</v>
      </c>
      <c r="H453" s="141">
        <v>68</v>
      </c>
      <c r="I453" s="197" t="str">
        <f>V445</f>
        <v>PANZA FC</v>
      </c>
      <c r="J453" s="197"/>
      <c r="K453" s="197"/>
      <c r="L453" s="197"/>
      <c r="M453" s="197"/>
      <c r="N453" s="197"/>
      <c r="O453" s="197"/>
      <c r="P453" s="197"/>
      <c r="Q453" s="40">
        <f>IF(OR(H453="",F453=""),"",IF(H453=F453,1,IF(H453&lt;F453,0,IF(H453-F453&lt;10,2,IF(H453&gt;F453,3,SE)))))</f>
        <v>2</v>
      </c>
      <c r="T453" s="40"/>
      <c r="V453" s="44"/>
      <c r="W453" s="44"/>
      <c r="X453" s="45"/>
      <c r="Y453" s="45"/>
      <c r="Z453" s="45"/>
      <c r="AA453" s="45"/>
      <c r="AB453" s="44"/>
      <c r="AC453" s="44"/>
      <c r="AD453" s="44"/>
      <c r="AE453" s="44"/>
      <c r="AF453" s="44"/>
      <c r="AG453" s="44"/>
      <c r="AH453" s="44"/>
      <c r="AI453" s="44"/>
      <c r="AJ453" s="44"/>
    </row>
    <row r="454" spans="3:37">
      <c r="C454" s="40">
        <f>IF(OR(F454="",H454=""),"",IF(F454=H454,1,IF(F454&lt;H454,0,IF(F454-H454&lt;10,2,IF(F454&gt;H454,3,SE)))))</f>
        <v>2</v>
      </c>
      <c r="D454" s="197" t="str">
        <f>V447</f>
        <v>PSG Massacre Fc</v>
      </c>
      <c r="E454" s="197"/>
      <c r="F454" s="141">
        <v>47</v>
      </c>
      <c r="G454" s="17" t="s">
        <v>19</v>
      </c>
      <c r="H454" s="140">
        <v>38</v>
      </c>
      <c r="I454" s="197" t="str">
        <f>V446</f>
        <v>Edielson Bamor</v>
      </c>
      <c r="J454" s="197"/>
      <c r="K454" s="197"/>
      <c r="L454" s="197"/>
      <c r="M454" s="197"/>
      <c r="N454" s="197"/>
      <c r="O454" s="197"/>
      <c r="P454" s="197"/>
      <c r="Q454" s="40">
        <f>IF(OR(H454="",F454=""),"",IF(H454=F454,1,IF(H454&lt;F454,0,IF(H454-F454&lt;10,2,IF(H454&gt;F454,3,SE)))))</f>
        <v>0</v>
      </c>
      <c r="R454" s="40"/>
      <c r="S454" s="40"/>
      <c r="T454" s="40"/>
      <c r="V454" s="44"/>
      <c r="W454" s="44"/>
      <c r="X454" s="45"/>
      <c r="Y454" s="45"/>
      <c r="Z454" s="45"/>
      <c r="AA454" s="45"/>
      <c r="AB454" s="44"/>
      <c r="AC454" s="44"/>
      <c r="AD454" s="44"/>
      <c r="AE454" s="44"/>
      <c r="AF454" s="44"/>
      <c r="AG454" s="44"/>
      <c r="AH454" s="44"/>
      <c r="AI454" s="44"/>
      <c r="AJ454" s="44"/>
    </row>
    <row r="455" spans="3:37" ht="15.75" thickBot="1">
      <c r="C455" s="40" t="str">
        <f>IF(OR(F455="",H455=""),"",IF(F455=H455,1,IF(F455&lt;H455,0,IF(F455-H455&lt;10,2,IF(F455&gt;H455,3,SE)))))</f>
        <v/>
      </c>
      <c r="Q455" s="40" t="str">
        <f>IF(OR(H455="",F455=""),"",IF(H455=F455,1,IF(H455&lt;F455,0,IF(H455-F455&lt;10,2,IF(H455&gt;F455,3,SE)))))</f>
        <v/>
      </c>
      <c r="R455" s="40"/>
      <c r="S455" s="40"/>
      <c r="T455" s="40"/>
      <c r="V455" s="44"/>
      <c r="W455" s="44"/>
      <c r="X455" s="45"/>
      <c r="Y455" s="45"/>
      <c r="Z455" s="45"/>
      <c r="AA455" s="45"/>
      <c r="AB455" s="44"/>
      <c r="AC455" s="44"/>
      <c r="AD455" s="44"/>
      <c r="AE455" s="44"/>
      <c r="AF455" s="44"/>
      <c r="AG455" s="44"/>
      <c r="AH455" s="44"/>
      <c r="AI455" s="44"/>
      <c r="AJ455" s="44"/>
    </row>
    <row r="456" spans="3:37">
      <c r="C456" s="40" t="str">
        <f>IF(OR(F456="",H456=""),"",IF(F456=H456,1,IF(F456&lt;H456,0,IF(F456-H456&lt;10,2,IF(F456&gt;H456,3,SE)))))</f>
        <v/>
      </c>
      <c r="D456" s="207" t="s">
        <v>161</v>
      </c>
      <c r="E456" s="208"/>
      <c r="F456" s="208"/>
      <c r="G456" s="208"/>
      <c r="H456" s="208"/>
      <c r="I456" s="208"/>
      <c r="J456" s="208"/>
      <c r="K456" s="208"/>
      <c r="L456" s="208"/>
      <c r="M456" s="208"/>
      <c r="N456" s="208"/>
      <c r="O456" s="208"/>
      <c r="P456" s="209"/>
      <c r="Q456" s="40" t="str">
        <f>IF(OR(H456="",F456=""),"",IF(H456=F456,1,IF(H456&lt;F456,0,IF(H456-F456&lt;10,2,IF(H456&gt;F456,3,SE)))))</f>
        <v/>
      </c>
      <c r="R456" s="40"/>
      <c r="S456" s="40"/>
      <c r="T456" s="40"/>
      <c r="V456" s="44"/>
      <c r="W456" s="44"/>
      <c r="X456" s="45"/>
      <c r="Y456" s="45"/>
      <c r="Z456" s="45"/>
      <c r="AA456" s="45"/>
      <c r="AB456" s="90"/>
      <c r="AC456" s="44"/>
      <c r="AD456" s="44"/>
      <c r="AE456" s="44"/>
      <c r="AF456" s="44"/>
      <c r="AG456" s="44"/>
      <c r="AH456" s="44"/>
      <c r="AI456" s="44"/>
      <c r="AJ456" s="44"/>
    </row>
    <row r="457" spans="3:37" ht="15.75" thickBot="1">
      <c r="C457" s="40" t="str">
        <f>IF(OR(F457="",H457=""),"",IF(F457=H457,1,IF(F457&lt;H457,0,IF(F457-H457&lt;10,2,IF(F457&gt;H457,3,SE)))))</f>
        <v/>
      </c>
      <c r="D457" s="210"/>
      <c r="E457" s="211"/>
      <c r="F457" s="211"/>
      <c r="G457" s="211"/>
      <c r="H457" s="211"/>
      <c r="I457" s="211"/>
      <c r="J457" s="211"/>
      <c r="K457" s="211"/>
      <c r="L457" s="211"/>
      <c r="M457" s="211"/>
      <c r="N457" s="211"/>
      <c r="O457" s="211"/>
      <c r="P457" s="212"/>
      <c r="Q457" s="40" t="str">
        <f>IF(OR(H457="",F457=""),"",IF(H457=F457,1,IF(H457&lt;F457,0,IF(H457-F457&lt;10,2,IF(H457&gt;F457,3,SE)))))</f>
        <v/>
      </c>
      <c r="R457" s="40"/>
      <c r="S457" s="40"/>
      <c r="T457" s="40"/>
      <c r="V457" s="44"/>
      <c r="W457" s="44"/>
      <c r="X457" s="44"/>
      <c r="Y457" s="90"/>
      <c r="Z457" s="90"/>
      <c r="AA457" s="90"/>
      <c r="AB457" s="90"/>
      <c r="AC457" s="44"/>
      <c r="AD457" s="44"/>
      <c r="AE457" s="44"/>
      <c r="AF457" s="44"/>
      <c r="AG457" s="44"/>
      <c r="AH457" s="44"/>
      <c r="AI457" s="44"/>
      <c r="AJ457" s="44"/>
    </row>
    <row r="458" spans="3:37">
      <c r="C458" s="40" t="str">
        <f>IF(OR(F458="",H458=""),"",IF(F458=H458,1,IF(F458&lt;H458,0,IF(F458-H458&lt;10,2,IF(F458&gt;H458,3,SE)))))</f>
        <v/>
      </c>
      <c r="Q458" s="40" t="str">
        <f>IF(OR(H458="",F458=""),"",IF(H458=F458,1,IF(H458&lt;F458,0,IF(H458-F458&lt;10,2,IF(H458&gt;F458,3,SE)))))</f>
        <v/>
      </c>
      <c r="R458" s="40"/>
      <c r="S458" s="40"/>
      <c r="T458" s="40"/>
      <c r="V458" s="44"/>
      <c r="W458" s="44"/>
      <c r="X458" s="44"/>
      <c r="Y458" s="90"/>
      <c r="Z458" s="90"/>
      <c r="AA458" s="90"/>
      <c r="AB458" s="90"/>
      <c r="AC458" s="44"/>
      <c r="AD458" s="44"/>
      <c r="AE458" s="44"/>
      <c r="AF458" s="44"/>
      <c r="AG458" s="44"/>
      <c r="AH458" s="44"/>
      <c r="AI458" s="44"/>
      <c r="AJ458" s="44"/>
    </row>
    <row r="459" spans="3:37">
      <c r="C459" s="40">
        <f>IF(OR(F459="",H459=""),"",IF(F459=H459,1,IF(F459&lt;H459,0,IF(F459-H459&lt;10,2,IF(F459&gt;H459,3,SE)))))</f>
        <v>3</v>
      </c>
      <c r="D459" s="197" t="str">
        <f>V448</f>
        <v>Valquerato</v>
      </c>
      <c r="E459" s="197"/>
      <c r="F459" s="141">
        <v>56</v>
      </c>
      <c r="G459" s="18" t="s">
        <v>19</v>
      </c>
      <c r="H459" s="140">
        <v>44</v>
      </c>
      <c r="I459" s="197" t="str">
        <f>V446</f>
        <v>Edielson Bamor</v>
      </c>
      <c r="J459" s="197"/>
      <c r="K459" s="197"/>
      <c r="L459" s="197"/>
      <c r="M459" s="197"/>
      <c r="N459" s="197"/>
      <c r="O459" s="197"/>
      <c r="P459" s="197"/>
      <c r="Q459" s="40">
        <f>IF(OR(H459="",F459=""),"",IF(H459=F459,1,IF(H459&lt;F459,0,IF(H459-F459&lt;10,2,IF(H459&gt;F459,3,SE)))))</f>
        <v>0</v>
      </c>
      <c r="R459" s="40"/>
      <c r="S459" s="40"/>
      <c r="T459" s="40"/>
      <c r="V459" s="44"/>
      <c r="W459" s="44"/>
      <c r="X459" s="44"/>
      <c r="Y459" s="90"/>
      <c r="Z459" s="90"/>
      <c r="AA459" s="90"/>
      <c r="AB459" s="90"/>
      <c r="AC459" s="44"/>
      <c r="AD459" s="44"/>
      <c r="AE459" s="44"/>
      <c r="AF459" s="44"/>
      <c r="AG459" s="44"/>
      <c r="AH459" s="44"/>
      <c r="AI459" s="44"/>
      <c r="AJ459" s="44"/>
    </row>
    <row r="460" spans="3:37">
      <c r="C460" s="40">
        <f>IF(OR(F460="",H460=""),"",IF(F460=H460,1,IF(F460&lt;H460,0,IF(F460-H460&lt;10,2,IF(F460&gt;H460,3,SE)))))</f>
        <v>2</v>
      </c>
      <c r="D460" s="197" t="str">
        <f>V447</f>
        <v>PSG Massacre Fc</v>
      </c>
      <c r="E460" s="197"/>
      <c r="F460" s="141">
        <v>59</v>
      </c>
      <c r="G460" s="18" t="s">
        <v>19</v>
      </c>
      <c r="H460" s="140">
        <v>52</v>
      </c>
      <c r="I460" s="197" t="str">
        <f>V445</f>
        <v>PANZA FC</v>
      </c>
      <c r="J460" s="197"/>
      <c r="K460" s="197"/>
      <c r="L460" s="197"/>
      <c r="M460" s="197"/>
      <c r="N460" s="197"/>
      <c r="O460" s="197"/>
      <c r="P460" s="197"/>
      <c r="Q460" s="40">
        <f>IF(OR(H460="",F460=""),"",IF(H460=F460,1,IF(H460&lt;F460,0,IF(H460-F460&lt;10,2,IF(H460&gt;F460,3,SE)))))</f>
        <v>0</v>
      </c>
      <c r="R460" s="40"/>
      <c r="S460" s="40"/>
      <c r="T460" s="40"/>
      <c r="V460" s="44"/>
      <c r="W460" s="44"/>
      <c r="X460" s="44"/>
      <c r="Y460" s="90"/>
      <c r="Z460" s="90"/>
      <c r="AA460" s="90"/>
      <c r="AB460" s="90"/>
      <c r="AC460" s="44"/>
      <c r="AD460" s="44"/>
      <c r="AE460" s="44"/>
      <c r="AF460" s="44"/>
      <c r="AG460" s="44"/>
      <c r="AH460" s="44"/>
      <c r="AI460" s="44"/>
      <c r="AJ460" s="44"/>
    </row>
    <row r="461" spans="3:37" ht="15.75" thickBot="1">
      <c r="C461" s="40" t="str">
        <f>IF(OR(F461="",H461=""),"",IF(F461=H461,1,IF(F461&lt;H461,0,IF(F461-H461&lt;10,2,IF(F461&gt;H461,3,SE)))))</f>
        <v/>
      </c>
      <c r="F461" s="20"/>
      <c r="Q461" s="40" t="str">
        <f>IF(OR(H461="",F461=""),"",IF(H461=F461,1,IF(H461&lt;F461,0,IF(H461-F461&lt;10,2,IF(H461&gt;F461,3,SE)))))</f>
        <v/>
      </c>
      <c r="R461" s="40"/>
      <c r="S461" s="40"/>
      <c r="T461" s="40"/>
      <c r="V461" s="44"/>
      <c r="W461" s="44"/>
      <c r="X461" s="44"/>
      <c r="Y461" s="90"/>
      <c r="Z461" s="90"/>
      <c r="AA461" s="90"/>
      <c r="AB461" s="90"/>
      <c r="AC461" s="44"/>
      <c r="AD461" s="44"/>
      <c r="AE461" s="44"/>
      <c r="AF461" s="44"/>
      <c r="AG461" s="44"/>
      <c r="AH461" s="44"/>
      <c r="AI461" s="44"/>
      <c r="AJ461" s="44"/>
    </row>
    <row r="462" spans="3:37">
      <c r="C462" s="40" t="str">
        <f>IF(OR(F462="",H462=""),"",IF(F462=H462,1,IF(F462&lt;H462,0,IF(F462-H462&lt;10,2,IF(F462&gt;H462,3,SE)))))</f>
        <v/>
      </c>
      <c r="D462" s="207" t="s">
        <v>162</v>
      </c>
      <c r="E462" s="208"/>
      <c r="F462" s="208"/>
      <c r="G462" s="208"/>
      <c r="H462" s="208"/>
      <c r="I462" s="208"/>
      <c r="J462" s="208"/>
      <c r="K462" s="208"/>
      <c r="L462" s="208"/>
      <c r="M462" s="208"/>
      <c r="N462" s="208"/>
      <c r="O462" s="208"/>
      <c r="P462" s="209"/>
      <c r="Q462" s="40" t="str">
        <f>IF(OR(H462="",F462=""),"",IF(H462=F462,1,IF(H462&lt;F462,0,IF(H462-F462&lt;10,2,IF(H462&gt;F462,3,SE)))))</f>
        <v/>
      </c>
      <c r="R462" s="40"/>
      <c r="S462" s="40"/>
      <c r="T462" s="40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</row>
    <row r="463" spans="3:37" ht="15.75" thickBot="1">
      <c r="C463" s="40" t="str">
        <f>IF(OR(F463="",H463=""),"",IF(F463=H463,1,IF(F463&lt;H463,0,IF(F463-H463&lt;10,2,IF(F463&gt;H463,3,SE)))))</f>
        <v/>
      </c>
      <c r="D463" s="210"/>
      <c r="E463" s="211"/>
      <c r="F463" s="211"/>
      <c r="G463" s="211"/>
      <c r="H463" s="211"/>
      <c r="I463" s="211"/>
      <c r="J463" s="211"/>
      <c r="K463" s="211"/>
      <c r="L463" s="211"/>
      <c r="M463" s="211"/>
      <c r="N463" s="211"/>
      <c r="O463" s="211"/>
      <c r="P463" s="212"/>
      <c r="Q463" s="40" t="str">
        <f>IF(OR(H463="",F463=""),"",IF(H463=F463,1,IF(H463&lt;F463,0,IF(H463-F463&lt;10,2,IF(H463&gt;F463,3,SE)))))</f>
        <v/>
      </c>
      <c r="R463" s="40"/>
      <c r="S463" s="40"/>
      <c r="T463" s="40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</row>
    <row r="464" spans="3:37">
      <c r="C464" s="40" t="str">
        <f>IF(OR(F464="",H464=""),"",IF(F464=H464,1,IF(F464&lt;H464,0,IF(F464-H464&lt;10,2,IF(F464&gt;H464,3,SE)))))</f>
        <v/>
      </c>
      <c r="Q464" s="40" t="str">
        <f>IF(OR(H464="",F464=""),"",IF(H464=F464,1,IF(H464&lt;F464,0,IF(H464-F464&lt;10,2,IF(H464&gt;F464,3,SE)))))</f>
        <v/>
      </c>
      <c r="R464" s="40"/>
      <c r="S464" s="40"/>
      <c r="T464" s="40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</row>
    <row r="465" spans="3:36">
      <c r="C465" s="40">
        <f>IF(OR(F465="",H465=""),"",IF(F465=H465,1,IF(F465&lt;H465,0,IF(F465-H465&lt;10,2,IF(F465&gt;H465,3,SE)))))</f>
        <v>0</v>
      </c>
      <c r="D465" s="197" t="str">
        <f>V448</f>
        <v>Valquerato</v>
      </c>
      <c r="E465" s="197"/>
      <c r="F465" s="140">
        <v>35</v>
      </c>
      <c r="G465" s="17" t="s">
        <v>19</v>
      </c>
      <c r="H465" s="141">
        <v>40</v>
      </c>
      <c r="I465" s="197" t="str">
        <f>V447</f>
        <v>PSG Massacre Fc</v>
      </c>
      <c r="J465" s="197"/>
      <c r="K465" s="197"/>
      <c r="L465" s="197"/>
      <c r="M465" s="197"/>
      <c r="N465" s="197"/>
      <c r="O465" s="197"/>
      <c r="P465" s="197"/>
      <c r="Q465" s="40">
        <f>IF(OR(H465="",F465=""),"",IF(H465=F465,1,IF(H465&lt;F465,0,IF(H465-F465&lt;10,2,IF(H465&gt;F465,3,SE)))))</f>
        <v>2</v>
      </c>
      <c r="R465" s="40"/>
      <c r="S465" s="40"/>
      <c r="T465" s="40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</row>
    <row r="466" spans="3:36">
      <c r="C466" s="40">
        <f>IF(OR(F466="",H466=""),"",IF(F466=H466,1,IF(F466&lt;H466,0,IF(F466-H466&lt;10,2,IF(F466&gt;H466,3,SE)))))</f>
        <v>0</v>
      </c>
      <c r="D466" s="197" t="str">
        <f>V446</f>
        <v>Edielson Bamor</v>
      </c>
      <c r="E466" s="197"/>
      <c r="F466" s="140">
        <v>24</v>
      </c>
      <c r="G466" s="17" t="s">
        <v>19</v>
      </c>
      <c r="H466" s="141">
        <v>41</v>
      </c>
      <c r="I466" s="197" t="str">
        <f>V445</f>
        <v>PANZA FC</v>
      </c>
      <c r="J466" s="197"/>
      <c r="K466" s="197"/>
      <c r="L466" s="197"/>
      <c r="M466" s="197"/>
      <c r="N466" s="197"/>
      <c r="O466" s="197"/>
      <c r="P466" s="197"/>
      <c r="Q466" s="40">
        <f>IF(OR(H466="",F466=""),"",IF(H466=F466,1,IF(H466&lt;F466,0,IF(H466-F466&lt;10,2,IF(H466&gt;F466,3,SE)))))</f>
        <v>3</v>
      </c>
      <c r="R466" s="40"/>
      <c r="S466" s="40"/>
      <c r="T466" s="40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</row>
    <row r="467" spans="3:36">
      <c r="C467" s="40"/>
      <c r="Q467" s="40" t="str">
        <f>IF(OR(H467="",F467=""),"",IF(H467=F467,1,IF(H467&lt;F467,0,IF(H467-F467&lt;10,2,IF(H467&gt;F467,3,SE)))))</f>
        <v/>
      </c>
      <c r="R467" s="40"/>
      <c r="S467" s="40"/>
      <c r="T467" s="40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</row>
  </sheetData>
  <sheetProtection password="EE74" sheet="1" objects="1" scenarios="1"/>
  <mergeCells count="226">
    <mergeCell ref="D462:P463"/>
    <mergeCell ref="D465:E465"/>
    <mergeCell ref="I465:P465"/>
    <mergeCell ref="D466:E466"/>
    <mergeCell ref="I466:P466"/>
    <mergeCell ref="D392:P393"/>
    <mergeCell ref="D453:E453"/>
    <mergeCell ref="I453:P453"/>
    <mergeCell ref="D454:E454"/>
    <mergeCell ref="I454:P454"/>
    <mergeCell ref="D456:P457"/>
    <mergeCell ref="D459:E459"/>
    <mergeCell ref="I459:P459"/>
    <mergeCell ref="D460:E460"/>
    <mergeCell ref="I460:P460"/>
    <mergeCell ref="D395:E395"/>
    <mergeCell ref="I395:P395"/>
    <mergeCell ref="D396:E396"/>
    <mergeCell ref="I396:P396"/>
    <mergeCell ref="D398:P399"/>
    <mergeCell ref="D401:E401"/>
    <mergeCell ref="I401:P401"/>
    <mergeCell ref="D402:E402"/>
    <mergeCell ref="I402:P402"/>
    <mergeCell ref="D410:O411"/>
    <mergeCell ref="D418:P419"/>
    <mergeCell ref="D421:E421"/>
    <mergeCell ref="I421:P421"/>
    <mergeCell ref="D422:E422"/>
    <mergeCell ref="D358:E358"/>
    <mergeCell ref="I358:P358"/>
    <mergeCell ref="D360:P361"/>
    <mergeCell ref="D378:O379"/>
    <mergeCell ref="D386:P387"/>
    <mergeCell ref="D389:E389"/>
    <mergeCell ref="I389:P389"/>
    <mergeCell ref="D390:E390"/>
    <mergeCell ref="I390:P390"/>
    <mergeCell ref="D363:E363"/>
    <mergeCell ref="I363:P363"/>
    <mergeCell ref="D364:E364"/>
    <mergeCell ref="I364:P364"/>
    <mergeCell ref="D366:P367"/>
    <mergeCell ref="D369:E369"/>
    <mergeCell ref="I369:P369"/>
    <mergeCell ref="D370:E370"/>
    <mergeCell ref="I370:P370"/>
    <mergeCell ref="D325:E325"/>
    <mergeCell ref="I325:P325"/>
    <mergeCell ref="D326:E326"/>
    <mergeCell ref="I326:P326"/>
    <mergeCell ref="D328:P329"/>
    <mergeCell ref="D346:O347"/>
    <mergeCell ref="D354:P355"/>
    <mergeCell ref="D357:E357"/>
    <mergeCell ref="I357:P357"/>
    <mergeCell ref="D331:E331"/>
    <mergeCell ref="I331:P331"/>
    <mergeCell ref="D332:E332"/>
    <mergeCell ref="I332:P332"/>
    <mergeCell ref="D334:P335"/>
    <mergeCell ref="D337:E337"/>
    <mergeCell ref="I337:P337"/>
    <mergeCell ref="D338:E338"/>
    <mergeCell ref="I338:P338"/>
    <mergeCell ref="D300:E300"/>
    <mergeCell ref="I300:P300"/>
    <mergeCell ref="D302:P303"/>
    <mergeCell ref="D305:E305"/>
    <mergeCell ref="I305:P305"/>
    <mergeCell ref="D306:E306"/>
    <mergeCell ref="I306:P306"/>
    <mergeCell ref="D314:O315"/>
    <mergeCell ref="D322:P323"/>
    <mergeCell ref="D264:P265"/>
    <mergeCell ref="D267:E267"/>
    <mergeCell ref="I267:P267"/>
    <mergeCell ref="D268:E268"/>
    <mergeCell ref="I268:P268"/>
    <mergeCell ref="D270:P271"/>
    <mergeCell ref="D296:P297"/>
    <mergeCell ref="D299:E299"/>
    <mergeCell ref="I299:P299"/>
    <mergeCell ref="D273:E273"/>
    <mergeCell ref="I273:P273"/>
    <mergeCell ref="D274:E274"/>
    <mergeCell ref="I274:P274"/>
    <mergeCell ref="D282:O283"/>
    <mergeCell ref="D290:P291"/>
    <mergeCell ref="D293:E293"/>
    <mergeCell ref="I293:P293"/>
    <mergeCell ref="D294:E294"/>
    <mergeCell ref="I294:P294"/>
    <mergeCell ref="D230:E230"/>
    <mergeCell ref="I230:P230"/>
    <mergeCell ref="D232:P233"/>
    <mergeCell ref="D250:O251"/>
    <mergeCell ref="D258:P259"/>
    <mergeCell ref="D261:E261"/>
    <mergeCell ref="I261:P261"/>
    <mergeCell ref="D262:E262"/>
    <mergeCell ref="I262:P262"/>
    <mergeCell ref="D235:E235"/>
    <mergeCell ref="I235:P235"/>
    <mergeCell ref="D236:E236"/>
    <mergeCell ref="I236:P236"/>
    <mergeCell ref="D238:P239"/>
    <mergeCell ref="D241:E241"/>
    <mergeCell ref="I241:P241"/>
    <mergeCell ref="D242:E242"/>
    <mergeCell ref="I242:P242"/>
    <mergeCell ref="D206:P207"/>
    <mergeCell ref="D209:E209"/>
    <mergeCell ref="I209:P209"/>
    <mergeCell ref="D210:E210"/>
    <mergeCell ref="I210:P210"/>
    <mergeCell ref="D218:O219"/>
    <mergeCell ref="D226:P227"/>
    <mergeCell ref="D229:E229"/>
    <mergeCell ref="I229:P229"/>
    <mergeCell ref="D197:E197"/>
    <mergeCell ref="I197:P197"/>
    <mergeCell ref="D198:E198"/>
    <mergeCell ref="I198:P198"/>
    <mergeCell ref="D200:P201"/>
    <mergeCell ref="D203:E203"/>
    <mergeCell ref="I203:P203"/>
    <mergeCell ref="D204:E204"/>
    <mergeCell ref="I204:P204"/>
    <mergeCell ref="D46:P47"/>
    <mergeCell ref="D49:E49"/>
    <mergeCell ref="I49:P49"/>
    <mergeCell ref="D50:E50"/>
    <mergeCell ref="I50:P50"/>
    <mergeCell ref="D178:E178"/>
    <mergeCell ref="I178:P178"/>
    <mergeCell ref="D186:O187"/>
    <mergeCell ref="D194:P195"/>
    <mergeCell ref="D58:O59"/>
    <mergeCell ref="D66:P67"/>
    <mergeCell ref="D69:E69"/>
    <mergeCell ref="I69:P69"/>
    <mergeCell ref="D78:P79"/>
    <mergeCell ref="D81:E81"/>
    <mergeCell ref="I81:P81"/>
    <mergeCell ref="D82:E82"/>
    <mergeCell ref="I82:P82"/>
    <mergeCell ref="D110:P111"/>
    <mergeCell ref="D113:E113"/>
    <mergeCell ref="I113:P113"/>
    <mergeCell ref="D114:E114"/>
    <mergeCell ref="I114:P114"/>
    <mergeCell ref="D70:E70"/>
    <mergeCell ref="D38:E38"/>
    <mergeCell ref="I38:P38"/>
    <mergeCell ref="D40:P41"/>
    <mergeCell ref="D43:E43"/>
    <mergeCell ref="I43:P43"/>
    <mergeCell ref="D44:E44"/>
    <mergeCell ref="I44:P44"/>
    <mergeCell ref="B14:Q16"/>
    <mergeCell ref="D26:O27"/>
    <mergeCell ref="D34:P35"/>
    <mergeCell ref="D37:E37"/>
    <mergeCell ref="I37:P37"/>
    <mergeCell ref="B18:Q19"/>
    <mergeCell ref="I70:P70"/>
    <mergeCell ref="D72:P73"/>
    <mergeCell ref="D75:E75"/>
    <mergeCell ref="I75:P75"/>
    <mergeCell ref="D76:E76"/>
    <mergeCell ref="I76:P76"/>
    <mergeCell ref="D102:E102"/>
    <mergeCell ref="I102:P102"/>
    <mergeCell ref="D104:P105"/>
    <mergeCell ref="D107:E107"/>
    <mergeCell ref="I107:P107"/>
    <mergeCell ref="D108:E108"/>
    <mergeCell ref="I108:P108"/>
    <mergeCell ref="D90:O91"/>
    <mergeCell ref="D98:P99"/>
    <mergeCell ref="D101:E101"/>
    <mergeCell ref="I101:P101"/>
    <mergeCell ref="D122:O123"/>
    <mergeCell ref="D134:E134"/>
    <mergeCell ref="I134:P134"/>
    <mergeCell ref="D136:P137"/>
    <mergeCell ref="D139:E139"/>
    <mergeCell ref="I139:P139"/>
    <mergeCell ref="D140:E140"/>
    <mergeCell ref="I140:P140"/>
    <mergeCell ref="D130:P131"/>
    <mergeCell ref="D133:E133"/>
    <mergeCell ref="I133:P133"/>
    <mergeCell ref="D172:E172"/>
    <mergeCell ref="I172:P172"/>
    <mergeCell ref="D174:P175"/>
    <mergeCell ref="D177:E177"/>
    <mergeCell ref="I177:P177"/>
    <mergeCell ref="D142:P143"/>
    <mergeCell ref="D145:E145"/>
    <mergeCell ref="I145:P145"/>
    <mergeCell ref="D146:E146"/>
    <mergeCell ref="I146:P146"/>
    <mergeCell ref="D154:O155"/>
    <mergeCell ref="D162:P163"/>
    <mergeCell ref="D165:E165"/>
    <mergeCell ref="I165:P165"/>
    <mergeCell ref="D166:E166"/>
    <mergeCell ref="I166:P166"/>
    <mergeCell ref="D168:P169"/>
    <mergeCell ref="D171:E171"/>
    <mergeCell ref="I171:P171"/>
    <mergeCell ref="D434:E434"/>
    <mergeCell ref="I434:P434"/>
    <mergeCell ref="D442:O443"/>
    <mergeCell ref="D450:P451"/>
    <mergeCell ref="I422:P422"/>
    <mergeCell ref="D424:P425"/>
    <mergeCell ref="D427:E427"/>
    <mergeCell ref="I427:P427"/>
    <mergeCell ref="D428:E428"/>
    <mergeCell ref="I428:P428"/>
    <mergeCell ref="D430:P431"/>
    <mergeCell ref="D433:E433"/>
    <mergeCell ref="I433:P433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1:AF321"/>
  <sheetViews>
    <sheetView showGridLines="0" showRowColHeaders="0" tabSelected="1" topLeftCell="A115" zoomScale="70" zoomScaleNormal="70" workbookViewId="0">
      <selection activeCell="AB123" sqref="AB123"/>
    </sheetView>
  </sheetViews>
  <sheetFormatPr defaultRowHeight="15"/>
  <cols>
    <col min="1" max="1" width="4" customWidth="1"/>
    <col min="2" max="2" width="5" bestFit="1" customWidth="1"/>
    <col min="3" max="3" width="6.140625" customWidth="1"/>
  </cols>
  <sheetData>
    <row r="1" spans="2:22" ht="15.75" thickBot="1"/>
    <row r="2" spans="2:22">
      <c r="B2" s="176" t="s">
        <v>86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8"/>
    </row>
    <row r="3" spans="2:22">
      <c r="B3" s="179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1"/>
    </row>
    <row r="4" spans="2:22" ht="15.75" thickBot="1">
      <c r="B4" s="182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4"/>
    </row>
    <row r="5" spans="2:22" ht="13.5" customHeight="1">
      <c r="B5" s="185"/>
      <c r="C5" s="186"/>
      <c r="D5" s="186"/>
      <c r="E5" s="186"/>
      <c r="F5" s="186"/>
      <c r="G5" s="186"/>
      <c r="H5" s="187"/>
      <c r="I5" s="191" t="s">
        <v>135</v>
      </c>
      <c r="J5" s="191"/>
      <c r="K5" s="191"/>
      <c r="L5" s="191"/>
      <c r="M5" s="191"/>
      <c r="N5" s="191"/>
      <c r="O5" s="191"/>
      <c r="P5" s="191"/>
      <c r="Q5" s="193"/>
      <c r="R5" s="186"/>
      <c r="S5" s="186"/>
      <c r="T5" s="186"/>
      <c r="U5" s="186"/>
      <c r="V5" s="194"/>
    </row>
    <row r="6" spans="2:22" ht="12" customHeight="1" thickBot="1">
      <c r="B6" s="188"/>
      <c r="C6" s="189"/>
      <c r="D6" s="189"/>
      <c r="E6" s="189"/>
      <c r="F6" s="189"/>
      <c r="G6" s="189"/>
      <c r="H6" s="190"/>
      <c r="I6" s="192"/>
      <c r="J6" s="192"/>
      <c r="K6" s="192"/>
      <c r="L6" s="192"/>
      <c r="M6" s="192"/>
      <c r="N6" s="192"/>
      <c r="O6" s="192"/>
      <c r="P6" s="192"/>
      <c r="Q6" s="195"/>
      <c r="R6" s="189"/>
      <c r="S6" s="189"/>
      <c r="T6" s="189"/>
      <c r="U6" s="189"/>
      <c r="V6" s="196"/>
    </row>
    <row r="7" spans="2:22" ht="28.5">
      <c r="B7" s="75" t="s">
        <v>111</v>
      </c>
      <c r="C7" s="174" t="str">
        <f>IF(OR('2ª FASE'!F50="",'2ª FASE'!H50=""),"1º GRUPO 1",'2ª FASE'!E29)</f>
        <v>Futuro Natal</v>
      </c>
      <c r="D7" s="174"/>
      <c r="E7" s="174"/>
      <c r="F7" s="174"/>
      <c r="G7" s="174"/>
      <c r="H7" s="174"/>
      <c r="I7" s="174"/>
      <c r="J7" s="174"/>
      <c r="K7" s="74">
        <v>51.55</v>
      </c>
      <c r="L7" s="94" t="s">
        <v>43</v>
      </c>
      <c r="M7" s="73">
        <v>73.459999999999994</v>
      </c>
      <c r="N7" s="174" t="str">
        <f>IF(OR('2ª FASE'!F50="",'2ª FASE'!H50=""),"4º MELHOR 3º LUGAR",'3º LUGARES'!C10)</f>
        <v>Valquerato</v>
      </c>
      <c r="O7" s="174"/>
      <c r="P7" s="174"/>
      <c r="Q7" s="174"/>
      <c r="R7" s="174"/>
      <c r="S7" s="174"/>
      <c r="T7" s="174"/>
      <c r="U7" s="174"/>
      <c r="V7" s="175"/>
    </row>
    <row r="8" spans="2:22" ht="28.5">
      <c r="B8" s="76" t="s">
        <v>112</v>
      </c>
      <c r="C8" s="161" t="str">
        <f>IF(OR('2ª FASE'!F50="",'2ª FASE'!H50=""),"1º GRUPO 2",'2ª FASE'!E61)</f>
        <v>Barbosinhaas</v>
      </c>
      <c r="D8" s="161"/>
      <c r="E8" s="161"/>
      <c r="F8" s="161"/>
      <c r="G8" s="161"/>
      <c r="H8" s="161"/>
      <c r="I8" s="161"/>
      <c r="J8" s="161"/>
      <c r="K8" s="72">
        <v>50.34</v>
      </c>
      <c r="L8" s="95" t="s">
        <v>43</v>
      </c>
      <c r="M8" s="70">
        <v>64.150000000000006</v>
      </c>
      <c r="N8" s="161" t="str">
        <f>IF(OR('2ª FASE'!F50="",'2ª FASE'!H50=""),"3º MELHOR 3º LUGAR",'3º LUGARES'!C9)</f>
        <v>Real Madrid football clube</v>
      </c>
      <c r="O8" s="161"/>
      <c r="P8" s="161"/>
      <c r="Q8" s="161"/>
      <c r="R8" s="161"/>
      <c r="S8" s="161"/>
      <c r="T8" s="161"/>
      <c r="U8" s="161"/>
      <c r="V8" s="162"/>
    </row>
    <row r="9" spans="2:22" ht="28.5">
      <c r="B9" s="75" t="s">
        <v>113</v>
      </c>
      <c r="C9" s="161" t="str">
        <f>IF(OR('2ª FASE'!F50="",'2ª FASE'!H50=""),"1º GRUPO 3",'2ª FASE'!E93)</f>
        <v>ManchesterUrubu City</v>
      </c>
      <c r="D9" s="161"/>
      <c r="E9" s="161"/>
      <c r="F9" s="161"/>
      <c r="G9" s="161"/>
      <c r="H9" s="161"/>
      <c r="I9" s="161"/>
      <c r="J9" s="161"/>
      <c r="K9" s="70">
        <v>38.51</v>
      </c>
      <c r="L9" s="95" t="s">
        <v>43</v>
      </c>
      <c r="M9" s="72">
        <v>37</v>
      </c>
      <c r="N9" s="161" t="str">
        <f>IF(OR('2ª FASE'!F50="",'2ª FASE'!H50=""),"2º MELHOR 3º LUGAR",'3º LUGARES'!C8)</f>
        <v>tremembe city</v>
      </c>
      <c r="O9" s="161"/>
      <c r="P9" s="161"/>
      <c r="Q9" s="161"/>
      <c r="R9" s="161"/>
      <c r="S9" s="161"/>
      <c r="T9" s="161"/>
      <c r="U9" s="161"/>
      <c r="V9" s="162"/>
    </row>
    <row r="10" spans="2:22" ht="28.5">
      <c r="B10" s="76" t="s">
        <v>114</v>
      </c>
      <c r="C10" s="161" t="str">
        <f>IF(OR('2ª FASE'!F50="",'2ª FASE'!H50=""),"1º GRUPO 4",'2ª FASE'!E125)</f>
        <v>Belmiro Village SFC</v>
      </c>
      <c r="D10" s="161"/>
      <c r="E10" s="161"/>
      <c r="F10" s="161"/>
      <c r="G10" s="161"/>
      <c r="H10" s="161"/>
      <c r="I10" s="161"/>
      <c r="J10" s="161"/>
      <c r="K10" s="72">
        <v>44.56</v>
      </c>
      <c r="L10" s="95" t="s">
        <v>43</v>
      </c>
      <c r="M10" s="70">
        <v>76.55</v>
      </c>
      <c r="N10" s="161" t="str">
        <f>IF(OR('2ª FASE'!F50="",'2ª FASE'!H50=""),"1º MELHOR 3º LUGAR",'3º LUGARES'!C7)</f>
        <v>Kappa Trentino</v>
      </c>
      <c r="O10" s="161"/>
      <c r="P10" s="161"/>
      <c r="Q10" s="161"/>
      <c r="R10" s="161"/>
      <c r="S10" s="161"/>
      <c r="T10" s="161"/>
      <c r="U10" s="161"/>
      <c r="V10" s="162"/>
    </row>
    <row r="11" spans="2:22" ht="28.5">
      <c r="B11" s="75" t="s">
        <v>115</v>
      </c>
      <c r="C11" s="161" t="str">
        <f>IF(OR('2ª FASE'!F50="",'2ª FASE'!H50=""),"1º GRUPO 5",'2ª FASE'!E157)</f>
        <v>Yes we cam 1000% fc</v>
      </c>
      <c r="D11" s="161"/>
      <c r="E11" s="161"/>
      <c r="F11" s="161"/>
      <c r="G11" s="161"/>
      <c r="H11" s="161"/>
      <c r="I11" s="161"/>
      <c r="J11" s="161"/>
      <c r="K11" s="72">
        <v>62.64</v>
      </c>
      <c r="L11" s="95" t="s">
        <v>43</v>
      </c>
      <c r="M11" s="70">
        <v>72.16</v>
      </c>
      <c r="N11" s="161" t="str">
        <f>IF(OR('2ª FASE'!F50="",'2ª FASE'!H50=""),"2º GRUPO 14",'2ª FASE'!E446)</f>
        <v>PANZA FC</v>
      </c>
      <c r="O11" s="161"/>
      <c r="P11" s="161"/>
      <c r="Q11" s="161"/>
      <c r="R11" s="161"/>
      <c r="S11" s="161"/>
      <c r="T11" s="161"/>
      <c r="U11" s="161"/>
      <c r="V11" s="162"/>
    </row>
    <row r="12" spans="2:22" ht="28.5">
      <c r="B12" s="76" t="s">
        <v>116</v>
      </c>
      <c r="C12" s="161" t="str">
        <f>IF(OR('2ª FASE'!F50="",'2ª FASE'!H50=""),"1º GRUPO 6",'2ª FASE'!E189)</f>
        <v>Raça Fl@ FC</v>
      </c>
      <c r="D12" s="161"/>
      <c r="E12" s="161"/>
      <c r="F12" s="161"/>
      <c r="G12" s="161"/>
      <c r="H12" s="161"/>
      <c r="I12" s="161"/>
      <c r="J12" s="161"/>
      <c r="K12" s="70">
        <v>63.81</v>
      </c>
      <c r="L12" s="95" t="s">
        <v>43</v>
      </c>
      <c r="M12" s="72">
        <v>50.26</v>
      </c>
      <c r="N12" s="161" t="str">
        <f>IF(OR('2ª FASE'!F50="",'2ª FASE'!H50=""),"2º GRUPO 13",'2ª FASE'!E414)</f>
        <v>Star Champions</v>
      </c>
      <c r="O12" s="161"/>
      <c r="P12" s="161"/>
      <c r="Q12" s="161"/>
      <c r="R12" s="161"/>
      <c r="S12" s="161"/>
      <c r="T12" s="161"/>
      <c r="U12" s="161"/>
      <c r="V12" s="162"/>
    </row>
    <row r="13" spans="2:22" ht="28.5">
      <c r="B13" s="75" t="s">
        <v>117</v>
      </c>
      <c r="C13" s="161" t="str">
        <f>IF(OR('2ª FASE'!F50="",'2ª FASE'!H50=""),"1º GRUPO 7",'2ª FASE'!E221)</f>
        <v>GREMIO CURITIBA</v>
      </c>
      <c r="D13" s="161"/>
      <c r="E13" s="161"/>
      <c r="F13" s="161"/>
      <c r="G13" s="161"/>
      <c r="H13" s="161"/>
      <c r="I13" s="161"/>
      <c r="J13" s="161"/>
      <c r="K13" s="72">
        <v>27.41</v>
      </c>
      <c r="L13" s="95" t="s">
        <v>43</v>
      </c>
      <c r="M13" s="70">
        <v>40.950000000000003</v>
      </c>
      <c r="N13" s="161" t="str">
        <f>IF(OR('2ª FASE'!F50="",'2ª FASE'!H50=""),"2º GRUPO 12",'2ª FASE'!E382)</f>
        <v>Bóia de Munique FC</v>
      </c>
      <c r="O13" s="161"/>
      <c r="P13" s="161"/>
      <c r="Q13" s="161"/>
      <c r="R13" s="161"/>
      <c r="S13" s="161"/>
      <c r="T13" s="161"/>
      <c r="U13" s="161"/>
      <c r="V13" s="162"/>
    </row>
    <row r="14" spans="2:22" ht="28.5">
      <c r="B14" s="76" t="s">
        <v>118</v>
      </c>
      <c r="C14" s="161" t="str">
        <f>IF(OR('2ª FASE'!F50="",'2ª FASE'!H50=""),"1º GRUPO 8",'2ª FASE'!E253)</f>
        <v>Rock celeste F.C</v>
      </c>
      <c r="D14" s="161"/>
      <c r="E14" s="161"/>
      <c r="F14" s="161"/>
      <c r="G14" s="161"/>
      <c r="H14" s="161"/>
      <c r="I14" s="161"/>
      <c r="J14" s="161"/>
      <c r="K14" s="72">
        <v>50.75</v>
      </c>
      <c r="L14" s="95" t="s">
        <v>43</v>
      </c>
      <c r="M14" s="70">
        <v>64.739999999999995</v>
      </c>
      <c r="N14" s="161" t="str">
        <f>IF(OR('2ª FASE'!F50="",'2ª FASE'!H50=""),"2º GRUPO 11",'2ª FASE'!E350)</f>
        <v>sucupir@ Dortmund</v>
      </c>
      <c r="O14" s="161"/>
      <c r="P14" s="161"/>
      <c r="Q14" s="161"/>
      <c r="R14" s="161"/>
      <c r="S14" s="161"/>
      <c r="T14" s="161"/>
      <c r="U14" s="161"/>
      <c r="V14" s="162"/>
    </row>
    <row r="15" spans="2:22" ht="28.5">
      <c r="B15" s="75" t="s">
        <v>119</v>
      </c>
      <c r="C15" s="161" t="str">
        <f>IF(OR('2ª FASE'!F50="",'2ª FASE'!H50=""),"1º GRUPO 9",'2ª FASE'!E285)</f>
        <v>Bafulinos SC</v>
      </c>
      <c r="D15" s="161"/>
      <c r="E15" s="161"/>
      <c r="F15" s="161"/>
      <c r="G15" s="161"/>
      <c r="H15" s="161"/>
      <c r="I15" s="161"/>
      <c r="J15" s="161"/>
      <c r="K15" s="72">
        <v>64.349999999999994</v>
      </c>
      <c r="L15" s="95" t="s">
        <v>43</v>
      </c>
      <c r="M15" s="72">
        <v>64.349999999999994</v>
      </c>
      <c r="N15" s="161" t="str">
        <f>IF(OR('2ª FASE'!F50="",'2ª FASE'!H50=""),"2º GRUPO 10",'2ª FASE'!E318)</f>
        <v>Engenheirense</v>
      </c>
      <c r="O15" s="161"/>
      <c r="P15" s="161"/>
      <c r="Q15" s="161"/>
      <c r="R15" s="161"/>
      <c r="S15" s="161"/>
      <c r="T15" s="161"/>
      <c r="U15" s="161"/>
      <c r="V15" s="162"/>
    </row>
    <row r="16" spans="2:22" ht="28.5">
      <c r="B16" s="76" t="s">
        <v>120</v>
      </c>
      <c r="C16" s="161" t="str">
        <f>IF(OR('2ª FASE'!F50="",'2ª FASE'!H50=""),"1º GRUPO 10",'2ª FASE'!E317)</f>
        <v>Black sheep f.c</v>
      </c>
      <c r="D16" s="161"/>
      <c r="E16" s="161"/>
      <c r="F16" s="161"/>
      <c r="G16" s="161"/>
      <c r="H16" s="161"/>
      <c r="I16" s="161"/>
      <c r="J16" s="161"/>
      <c r="K16" s="70">
        <v>55.54</v>
      </c>
      <c r="L16" s="95" t="s">
        <v>43</v>
      </c>
      <c r="M16" s="72">
        <v>28.05</v>
      </c>
      <c r="N16" s="161" t="str">
        <f>IF(OR('2ª FASE'!F50="",'2ª FASE'!H50=""),"2º GRUPO 9",'2ª FASE'!E286)</f>
        <v>Psicoacústica FC</v>
      </c>
      <c r="O16" s="161"/>
      <c r="P16" s="161"/>
      <c r="Q16" s="161"/>
      <c r="R16" s="161"/>
      <c r="S16" s="161"/>
      <c r="T16" s="161"/>
      <c r="U16" s="161"/>
      <c r="V16" s="162"/>
    </row>
    <row r="17" spans="2:22" ht="28.5">
      <c r="B17" s="75" t="s">
        <v>121</v>
      </c>
      <c r="C17" s="161" t="str">
        <f>IF(OR('2ª FASE'!F50="",'2ª FASE'!H50=""),"1º GRUPO 11",'2ª FASE'!E349)</f>
        <v>Guiguizão fc</v>
      </c>
      <c r="D17" s="161"/>
      <c r="E17" s="161"/>
      <c r="F17" s="161"/>
      <c r="G17" s="161"/>
      <c r="H17" s="161"/>
      <c r="I17" s="161"/>
      <c r="J17" s="161"/>
      <c r="K17" s="70">
        <v>87.73</v>
      </c>
      <c r="L17" s="95" t="s">
        <v>43</v>
      </c>
      <c r="M17" s="72">
        <v>66.849999999999994</v>
      </c>
      <c r="N17" s="161" t="str">
        <f>IF(OR('2ª FASE'!F50="",'2ª FASE'!H50=""),"2º GRUPO 8",'2ª FASE'!E254)</f>
        <v>MESTRE CIÇA</v>
      </c>
      <c r="O17" s="161"/>
      <c r="P17" s="161"/>
      <c r="Q17" s="161"/>
      <c r="R17" s="161"/>
      <c r="S17" s="161"/>
      <c r="T17" s="161"/>
      <c r="U17" s="161"/>
      <c r="V17" s="162"/>
    </row>
    <row r="18" spans="2:22" ht="28.5">
      <c r="B18" s="76" t="s">
        <v>122</v>
      </c>
      <c r="C18" s="161" t="str">
        <f>IF(OR('2ª FASE'!F50="",'2ª FASE'!H50=""),"1º GRUPO 12",'2ª FASE'!E381)</f>
        <v>Galaticos  Alves FC</v>
      </c>
      <c r="D18" s="161"/>
      <c r="E18" s="161"/>
      <c r="F18" s="161"/>
      <c r="G18" s="161"/>
      <c r="H18" s="161"/>
      <c r="I18" s="161"/>
      <c r="J18" s="161"/>
      <c r="K18" s="70">
        <v>82.34</v>
      </c>
      <c r="L18" s="95" t="s">
        <v>43</v>
      </c>
      <c r="M18" s="72">
        <v>54.9</v>
      </c>
      <c r="N18" s="161" t="str">
        <f>IF(OR('2ª FASE'!F50="",'2ª FASE'!H50=""),"2º GRUPO 7",'2ª FASE'!E222)</f>
        <v>NARINA SC</v>
      </c>
      <c r="O18" s="161"/>
      <c r="P18" s="161"/>
      <c r="Q18" s="161"/>
      <c r="R18" s="161"/>
      <c r="S18" s="161"/>
      <c r="T18" s="161"/>
      <c r="U18" s="161"/>
      <c r="V18" s="162"/>
    </row>
    <row r="19" spans="2:22" ht="28.5">
      <c r="B19" s="75" t="s">
        <v>123</v>
      </c>
      <c r="C19" s="161" t="str">
        <f>IF(OR('2ª FASE'!F50="",'2ª FASE'!H50=""),"1º GRUPO 13",'2ª FASE'!E413)</f>
        <v>The Snipers F.C.</v>
      </c>
      <c r="D19" s="161"/>
      <c r="E19" s="161"/>
      <c r="F19" s="161"/>
      <c r="G19" s="161"/>
      <c r="H19" s="161"/>
      <c r="I19" s="161"/>
      <c r="J19" s="161"/>
      <c r="K19" s="70">
        <v>83.53</v>
      </c>
      <c r="L19" s="95" t="s">
        <v>43</v>
      </c>
      <c r="M19" s="72">
        <v>68.11</v>
      </c>
      <c r="N19" s="161" t="str">
        <f>IF(OR('2ª FASE'!F50="",'2ª FASE'!H50=""),"2º GRUPO 6",'2ª FASE'!E190)</f>
        <v>E C Barcelama</v>
      </c>
      <c r="O19" s="161"/>
      <c r="P19" s="161"/>
      <c r="Q19" s="161"/>
      <c r="R19" s="161"/>
      <c r="S19" s="161"/>
      <c r="T19" s="161"/>
      <c r="U19" s="161"/>
      <c r="V19" s="162"/>
    </row>
    <row r="20" spans="2:22" ht="28.5">
      <c r="B20" s="76" t="s">
        <v>124</v>
      </c>
      <c r="C20" s="161" t="str">
        <f>IF(OR('2ª FASE'!F50="",'2ª FASE'!H50=""),"1º GRUPO 14",'2ª FASE'!E445)</f>
        <v>PSG Massacre Fc</v>
      </c>
      <c r="D20" s="161"/>
      <c r="E20" s="161"/>
      <c r="F20" s="161"/>
      <c r="G20" s="161"/>
      <c r="H20" s="161"/>
      <c r="I20" s="161"/>
      <c r="J20" s="161"/>
      <c r="K20" s="72">
        <v>69.45</v>
      </c>
      <c r="L20" s="95" t="s">
        <v>43</v>
      </c>
      <c r="M20" s="70">
        <v>72.34</v>
      </c>
      <c r="N20" s="161" t="str">
        <f>IF(OR('2ª FASE'!F50="",'2ª FASE'!H50=""),"2º GRUPO 5",'2ª FASE'!E158)</f>
        <v>Nacyonal de Marabá</v>
      </c>
      <c r="O20" s="161"/>
      <c r="P20" s="161"/>
      <c r="Q20" s="161"/>
      <c r="R20" s="161"/>
      <c r="S20" s="161"/>
      <c r="T20" s="161"/>
      <c r="U20" s="161"/>
      <c r="V20" s="162"/>
    </row>
    <row r="21" spans="2:22" ht="28.5">
      <c r="B21" s="75" t="s">
        <v>125</v>
      </c>
      <c r="C21" s="161" t="str">
        <f>IF(OR('2ª FASE'!F50="",'2ª FASE'!H50=""),"2º GRUPO 1",'2ª FASE'!E30)</f>
        <v>AVANTIMS FC</v>
      </c>
      <c r="D21" s="161"/>
      <c r="E21" s="161"/>
      <c r="F21" s="161"/>
      <c r="G21" s="161"/>
      <c r="H21" s="161"/>
      <c r="I21" s="161"/>
      <c r="J21" s="161"/>
      <c r="K21" s="72">
        <v>45.26</v>
      </c>
      <c r="L21" s="95" t="s">
        <v>43</v>
      </c>
      <c r="M21" s="70">
        <v>55.54</v>
      </c>
      <c r="N21" s="161" t="str">
        <f>IF(OR('2ª FASE'!F50="",'2ª FASE'!H50=""),"2º GRUPO 4",'2ª FASE'!E126)</f>
        <v>FC Douglas Leal</v>
      </c>
      <c r="O21" s="161"/>
      <c r="P21" s="161"/>
      <c r="Q21" s="161"/>
      <c r="R21" s="161"/>
      <c r="S21" s="161"/>
      <c r="T21" s="161"/>
      <c r="U21" s="161"/>
      <c r="V21" s="162"/>
    </row>
    <row r="22" spans="2:22" ht="29.25" thickBot="1">
      <c r="B22" s="77" t="s">
        <v>126</v>
      </c>
      <c r="C22" s="219" t="str">
        <f>IF(OR('2ª FASE'!F50="",'2ª FASE'!H50=""),"2º GRUPO 2",'2ª FASE'!E62)</f>
        <v>UBDC FC</v>
      </c>
      <c r="D22" s="219"/>
      <c r="E22" s="219"/>
      <c r="F22" s="219"/>
      <c r="G22" s="219"/>
      <c r="H22" s="219"/>
      <c r="I22" s="219"/>
      <c r="J22" s="219"/>
      <c r="K22" s="79">
        <v>53.66</v>
      </c>
      <c r="L22" s="96" t="s">
        <v>43</v>
      </c>
      <c r="M22" s="78">
        <v>36.24</v>
      </c>
      <c r="N22" s="219" t="str">
        <f>IF(OR('2ª FASE'!F50="",'2ª FASE'!H50=""),"2º GRUPO 3",'2ª FASE'!E94)</f>
        <v>Bode de chuteira</v>
      </c>
      <c r="O22" s="219"/>
      <c r="P22" s="219"/>
      <c r="Q22" s="219"/>
      <c r="R22" s="219"/>
      <c r="S22" s="219"/>
      <c r="T22" s="219"/>
      <c r="U22" s="219"/>
      <c r="V22" s="226"/>
    </row>
    <row r="23" spans="2:22" ht="15.75" customHeight="1" thickBot="1">
      <c r="B23" s="80"/>
      <c r="C23" s="56"/>
      <c r="D23" s="56"/>
      <c r="E23" s="56"/>
      <c r="F23" s="56"/>
      <c r="G23" s="56"/>
      <c r="H23" s="56"/>
      <c r="I23" s="56"/>
      <c r="J23" s="56"/>
      <c r="K23" s="81"/>
      <c r="L23" s="58"/>
      <c r="M23" s="82"/>
      <c r="N23" s="56"/>
      <c r="O23" s="56"/>
      <c r="P23" s="56"/>
      <c r="Q23" s="56"/>
      <c r="R23" s="56"/>
      <c r="S23" s="56"/>
      <c r="T23" s="56"/>
      <c r="U23" s="56"/>
      <c r="V23" s="56"/>
    </row>
    <row r="24" spans="2:22" ht="15.75" customHeight="1">
      <c r="B24" s="213" t="s">
        <v>44</v>
      </c>
      <c r="C24" s="214"/>
      <c r="D24" s="214"/>
      <c r="E24" s="214"/>
      <c r="F24" s="214"/>
      <c r="G24" s="214"/>
      <c r="H24" s="214"/>
      <c r="I24" s="214"/>
      <c r="J24" s="214"/>
      <c r="K24" s="214"/>
      <c r="L24" s="214"/>
      <c r="M24" s="214"/>
      <c r="N24" s="214"/>
      <c r="O24" s="214"/>
      <c r="P24" s="214"/>
      <c r="Q24" s="214"/>
      <c r="R24" s="214"/>
      <c r="S24" s="214"/>
      <c r="T24" s="214"/>
      <c r="U24" s="214"/>
      <c r="V24" s="215"/>
    </row>
    <row r="25" spans="2:22" ht="15.75" customHeight="1">
      <c r="B25" s="185"/>
      <c r="C25" s="186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94"/>
    </row>
    <row r="26" spans="2:22" ht="15.75" customHeight="1" thickBot="1">
      <c r="B26" s="188"/>
      <c r="C26" s="189"/>
      <c r="D26" s="189"/>
      <c r="E26" s="189"/>
      <c r="F26" s="189"/>
      <c r="G26" s="189"/>
      <c r="H26" s="189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96"/>
    </row>
    <row r="27" spans="2:22" ht="15.75" customHeight="1">
      <c r="B27" s="49"/>
      <c r="C27" s="50"/>
      <c r="D27" s="50"/>
      <c r="E27" s="50"/>
      <c r="F27" s="50"/>
      <c r="G27" s="50"/>
      <c r="H27" s="50"/>
      <c r="I27" s="227" t="s">
        <v>136</v>
      </c>
      <c r="J27" s="228"/>
      <c r="K27" s="228"/>
      <c r="L27" s="228"/>
      <c r="M27" s="228"/>
      <c r="N27" s="228"/>
      <c r="O27" s="228"/>
      <c r="P27" s="229"/>
      <c r="Q27" s="50"/>
      <c r="R27" s="50"/>
      <c r="S27" s="50"/>
      <c r="T27" s="50"/>
      <c r="U27" s="50"/>
      <c r="V27" s="51"/>
    </row>
    <row r="28" spans="2:22" ht="15.75" customHeight="1" thickBot="1">
      <c r="B28" s="63"/>
      <c r="C28" s="64"/>
      <c r="D28" s="64"/>
      <c r="E28" s="64"/>
      <c r="F28" s="64"/>
      <c r="G28" s="64"/>
      <c r="H28" s="64"/>
      <c r="I28" s="223"/>
      <c r="J28" s="224"/>
      <c r="K28" s="224"/>
      <c r="L28" s="224"/>
      <c r="M28" s="224"/>
      <c r="N28" s="224"/>
      <c r="O28" s="224"/>
      <c r="P28" s="225"/>
      <c r="Q28" s="64"/>
      <c r="R28" s="64"/>
      <c r="S28" s="64"/>
      <c r="T28" s="64"/>
      <c r="U28" s="64"/>
      <c r="V28" s="65"/>
    </row>
    <row r="29" spans="2:22" ht="28.5">
      <c r="B29" s="75" t="s">
        <v>127</v>
      </c>
      <c r="C29" s="174" t="str">
        <f>IF(OR(K7="",M7=""),"VENCEDOR J57",IF(K7&gt;M7,C7,N7))</f>
        <v>Valquerato</v>
      </c>
      <c r="D29" s="174"/>
      <c r="E29" s="174"/>
      <c r="F29" s="174"/>
      <c r="G29" s="174"/>
      <c r="H29" s="174"/>
      <c r="I29" s="174"/>
      <c r="J29" s="174"/>
      <c r="K29" s="73">
        <v>73.28</v>
      </c>
      <c r="L29" s="66" t="s">
        <v>43</v>
      </c>
      <c r="M29" s="74">
        <v>23.41</v>
      </c>
      <c r="N29" s="174" t="str">
        <f>IF(OR(K8="",M8=""),"VENCEDOR J58",IF(K8&gt;M8,C8,N8))</f>
        <v>Real Madrid football clube</v>
      </c>
      <c r="O29" s="174"/>
      <c r="P29" s="174"/>
      <c r="Q29" s="174"/>
      <c r="R29" s="174"/>
      <c r="S29" s="174"/>
      <c r="T29" s="174"/>
      <c r="U29" s="174"/>
      <c r="V29" s="175"/>
    </row>
    <row r="30" spans="2:22" ht="28.5">
      <c r="B30" s="76" t="s">
        <v>128</v>
      </c>
      <c r="C30" s="161" t="str">
        <f>IF(OR(K9="",M9=""),"VENCEDOR J59",IF(K9&gt;M9,C9,N9))</f>
        <v>ManchesterUrubu City</v>
      </c>
      <c r="D30" s="161"/>
      <c r="E30" s="161"/>
      <c r="F30" s="161"/>
      <c r="G30" s="161"/>
      <c r="H30" s="161"/>
      <c r="I30" s="161"/>
      <c r="J30" s="161"/>
      <c r="K30" s="72">
        <v>28.98</v>
      </c>
      <c r="L30" s="71" t="s">
        <v>43</v>
      </c>
      <c r="M30" s="72">
        <v>54.08</v>
      </c>
      <c r="N30" s="161" t="str">
        <f>IF(OR(K10="",M10=""),"VENCEDOR J60",IF(K10&gt;M10,C10,N10))</f>
        <v>Kappa Trentino</v>
      </c>
      <c r="O30" s="161"/>
      <c r="P30" s="161"/>
      <c r="Q30" s="161"/>
      <c r="R30" s="161"/>
      <c r="S30" s="161"/>
      <c r="T30" s="161"/>
      <c r="U30" s="161"/>
      <c r="V30" s="162"/>
    </row>
    <row r="31" spans="2:22" ht="28.5">
      <c r="B31" s="75" t="s">
        <v>129</v>
      </c>
      <c r="C31" s="161" t="str">
        <f>IF(OR(K11="",M11=""),"VENCEDOR J61",IF(K11&gt;M11,C11,N11))</f>
        <v>PANZA FC</v>
      </c>
      <c r="D31" s="161"/>
      <c r="E31" s="161"/>
      <c r="F31" s="161"/>
      <c r="G31" s="161"/>
      <c r="H31" s="161"/>
      <c r="I31" s="161"/>
      <c r="J31" s="161"/>
      <c r="K31" s="70">
        <v>46.55</v>
      </c>
      <c r="L31" s="71" t="s">
        <v>43</v>
      </c>
      <c r="M31" s="72">
        <v>10.41</v>
      </c>
      <c r="N31" s="161" t="str">
        <f>IF(OR(K12="",M12=""),"VENCEDOR J62",IF(K12&gt;M12,C12,N12))</f>
        <v>Raça Fl@ FC</v>
      </c>
      <c r="O31" s="161"/>
      <c r="P31" s="161"/>
      <c r="Q31" s="161"/>
      <c r="R31" s="161"/>
      <c r="S31" s="161"/>
      <c r="T31" s="161"/>
      <c r="U31" s="161"/>
      <c r="V31" s="162"/>
    </row>
    <row r="32" spans="2:22" ht="28.5">
      <c r="B32" s="76" t="s">
        <v>130</v>
      </c>
      <c r="C32" s="161" t="str">
        <f>IF(OR(K13="",M13=""),"VENCEDOR J63",IF(K13&gt;M13,C13,N13))</f>
        <v>Bóia de Munique FC</v>
      </c>
      <c r="D32" s="161"/>
      <c r="E32" s="161"/>
      <c r="F32" s="161"/>
      <c r="G32" s="161"/>
      <c r="H32" s="161"/>
      <c r="I32" s="161"/>
      <c r="J32" s="161"/>
      <c r="K32" s="72">
        <v>22.56</v>
      </c>
      <c r="L32" s="71" t="s">
        <v>43</v>
      </c>
      <c r="M32" s="70">
        <v>41.6</v>
      </c>
      <c r="N32" s="161" t="str">
        <f>IF(OR(K14="",M14=""),"VENCEDOR J64",IF(K14&gt;M14,C14,N14))</f>
        <v>sucupir@ Dortmund</v>
      </c>
      <c r="O32" s="161"/>
      <c r="P32" s="161"/>
      <c r="Q32" s="161"/>
      <c r="R32" s="161"/>
      <c r="S32" s="161"/>
      <c r="T32" s="161"/>
      <c r="U32" s="161"/>
      <c r="V32" s="162"/>
    </row>
    <row r="33" spans="2:23" ht="28.5">
      <c r="B33" s="75" t="s">
        <v>131</v>
      </c>
      <c r="C33" s="161" t="str">
        <f>IF(OR(K15="",M15=""),"VENCEDOR J65",IF(K15&gt;=M15,C15,N15))</f>
        <v>Bafulinos SC</v>
      </c>
      <c r="D33" s="161"/>
      <c r="E33" s="161"/>
      <c r="F33" s="161"/>
      <c r="G33" s="161"/>
      <c r="H33" s="161"/>
      <c r="I33" s="161"/>
      <c r="J33" s="161"/>
      <c r="K33" s="70">
        <v>33.159999999999997</v>
      </c>
      <c r="L33" s="71" t="s">
        <v>43</v>
      </c>
      <c r="M33" s="72">
        <v>28.01</v>
      </c>
      <c r="N33" s="161" t="str">
        <f>IF(OR(K16="",M16=""),"VENCEDOR J66",IF(K16&gt;M16,C16,N16))</f>
        <v>Black sheep f.c</v>
      </c>
      <c r="O33" s="161"/>
      <c r="P33" s="161"/>
      <c r="Q33" s="161"/>
      <c r="R33" s="161"/>
      <c r="S33" s="161"/>
      <c r="T33" s="161"/>
      <c r="U33" s="161"/>
      <c r="V33" s="162"/>
    </row>
    <row r="34" spans="2:23" ht="28.5">
      <c r="B34" s="76" t="s">
        <v>132</v>
      </c>
      <c r="C34" s="161" t="str">
        <f>IF(OR(K17="",M17=""),"VENCEDOR J67",IF(K17&gt;M17,C17,N17))</f>
        <v>Guiguizão fc</v>
      </c>
      <c r="D34" s="161"/>
      <c r="E34" s="161"/>
      <c r="F34" s="161"/>
      <c r="G34" s="161"/>
      <c r="H34" s="161"/>
      <c r="I34" s="161"/>
      <c r="J34" s="161"/>
      <c r="K34" s="72">
        <v>24.84</v>
      </c>
      <c r="L34" s="71" t="s">
        <v>43</v>
      </c>
      <c r="M34" s="70">
        <v>56.71</v>
      </c>
      <c r="N34" s="161" t="str">
        <f>IF(OR(K18="",M18=""),"VENCEDOR J68",IF(K18&gt;M18,C18,N18))</f>
        <v>Galaticos  Alves FC</v>
      </c>
      <c r="O34" s="161"/>
      <c r="P34" s="161"/>
      <c r="Q34" s="161"/>
      <c r="R34" s="161"/>
      <c r="S34" s="161"/>
      <c r="T34" s="161"/>
      <c r="U34" s="161"/>
      <c r="V34" s="162"/>
    </row>
    <row r="35" spans="2:23" ht="28.5">
      <c r="B35" s="75" t="s">
        <v>133</v>
      </c>
      <c r="C35" s="161" t="str">
        <f>IF(OR(K19="",M19=""),"VENCEDOR J69",IF(K19&gt;M19,C19,N19))</f>
        <v>The Snipers F.C.</v>
      </c>
      <c r="D35" s="161"/>
      <c r="E35" s="161"/>
      <c r="F35" s="161"/>
      <c r="G35" s="161"/>
      <c r="H35" s="161"/>
      <c r="I35" s="161"/>
      <c r="J35" s="161"/>
      <c r="K35" s="70">
        <v>39.979999999999997</v>
      </c>
      <c r="L35" s="71" t="s">
        <v>43</v>
      </c>
      <c r="M35" s="72">
        <v>37.409999999999997</v>
      </c>
      <c r="N35" s="161" t="str">
        <f>IF(OR(K20="",M20=""),"VENCEDOR J70",IF(K20&gt;M20,C20,N20))</f>
        <v>Nacyonal de Marabá</v>
      </c>
      <c r="O35" s="161"/>
      <c r="P35" s="161"/>
      <c r="Q35" s="161"/>
      <c r="R35" s="161"/>
      <c r="S35" s="161"/>
      <c r="T35" s="161"/>
      <c r="U35" s="161"/>
      <c r="V35" s="162"/>
    </row>
    <row r="36" spans="2:23" ht="29.25" thickBot="1">
      <c r="B36" s="77" t="s">
        <v>134</v>
      </c>
      <c r="C36" s="219" t="str">
        <f>IF(OR(K21="",M21=""),"VENCEDOR J71",IF(K21&gt;M21,C21,N21))</f>
        <v>FC Douglas Leal</v>
      </c>
      <c r="D36" s="219"/>
      <c r="E36" s="219"/>
      <c r="F36" s="219"/>
      <c r="G36" s="219"/>
      <c r="H36" s="219"/>
      <c r="I36" s="219"/>
      <c r="J36" s="219"/>
      <c r="K36" s="78">
        <v>18.46</v>
      </c>
      <c r="L36" s="67" t="s">
        <v>43</v>
      </c>
      <c r="M36" s="79">
        <v>55.51</v>
      </c>
      <c r="N36" s="219" t="str">
        <f>IF(OR(K22="",M22=""),"VENCEDOR J72",IF(K22&gt;M22,C22,N22))</f>
        <v>UBDC FC</v>
      </c>
      <c r="O36" s="219"/>
      <c r="P36" s="219"/>
      <c r="Q36" s="219"/>
      <c r="R36" s="219"/>
      <c r="S36" s="219"/>
      <c r="T36" s="219"/>
      <c r="U36" s="219"/>
      <c r="V36" s="226"/>
    </row>
    <row r="37" spans="2:23" ht="29.25" thickBot="1">
      <c r="B37" s="80"/>
      <c r="C37" s="56"/>
      <c r="D37" s="56"/>
      <c r="E37" s="56"/>
      <c r="F37" s="56"/>
      <c r="G37" s="56"/>
      <c r="H37" s="56"/>
      <c r="I37" s="56"/>
      <c r="J37" s="56"/>
      <c r="K37" s="81"/>
      <c r="L37" s="58"/>
      <c r="M37" s="82"/>
      <c r="N37" s="56"/>
      <c r="O37" s="56"/>
      <c r="P37" s="56"/>
      <c r="Q37" s="56"/>
      <c r="R37" s="56"/>
      <c r="S37" s="56"/>
      <c r="T37" s="56"/>
      <c r="U37" s="56"/>
      <c r="V37" s="56"/>
    </row>
    <row r="38" spans="2:23" ht="18.75">
      <c r="B38" s="80"/>
      <c r="C38" s="213" t="s">
        <v>53</v>
      </c>
      <c r="D38" s="214"/>
      <c r="E38" s="214"/>
      <c r="F38" s="214"/>
      <c r="G38" s="214"/>
      <c r="H38" s="214"/>
      <c r="I38" s="214"/>
      <c r="J38" s="214"/>
      <c r="K38" s="214"/>
      <c r="L38" s="214"/>
      <c r="M38" s="214"/>
      <c r="N38" s="214"/>
      <c r="O38" s="214"/>
      <c r="P38" s="214"/>
      <c r="Q38" s="214"/>
      <c r="R38" s="214"/>
      <c r="S38" s="214"/>
      <c r="T38" s="214"/>
      <c r="U38" s="214"/>
      <c r="V38" s="214"/>
      <c r="W38" s="215"/>
    </row>
    <row r="39" spans="2:23" ht="18.75">
      <c r="B39" s="80"/>
      <c r="C39" s="185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94"/>
    </row>
    <row r="40" spans="2:23" ht="19.5" thickBot="1">
      <c r="B40" s="80"/>
      <c r="C40" s="188"/>
      <c r="D40" s="189"/>
      <c r="E40" s="189"/>
      <c r="F40" s="189"/>
      <c r="G40" s="189"/>
      <c r="H40" s="189"/>
      <c r="I40" s="189"/>
      <c r="J40" s="189"/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96"/>
    </row>
    <row r="41" spans="2:23" ht="18" customHeight="1">
      <c r="B41" s="80"/>
      <c r="C41" s="49"/>
      <c r="D41" s="50"/>
      <c r="E41" s="50"/>
      <c r="F41" s="50"/>
      <c r="G41" s="50"/>
      <c r="H41" s="50"/>
      <c r="I41" s="50"/>
      <c r="J41" s="227" t="s">
        <v>137</v>
      </c>
      <c r="K41" s="228"/>
      <c r="L41" s="228"/>
      <c r="M41" s="228"/>
      <c r="N41" s="228"/>
      <c r="O41" s="228"/>
      <c r="P41" s="228"/>
      <c r="Q41" s="229"/>
      <c r="R41" s="50"/>
      <c r="S41" s="50"/>
      <c r="T41" s="50"/>
      <c r="U41" s="50"/>
      <c r="V41" s="50"/>
      <c r="W41" s="51"/>
    </row>
    <row r="42" spans="2:23" ht="20.25" customHeight="1" thickBot="1">
      <c r="B42" s="80"/>
      <c r="C42" s="63"/>
      <c r="D42" s="64"/>
      <c r="E42" s="64"/>
      <c r="F42" s="64"/>
      <c r="G42" s="64"/>
      <c r="H42" s="64"/>
      <c r="I42" s="64"/>
      <c r="J42" s="223"/>
      <c r="K42" s="224"/>
      <c r="L42" s="224"/>
      <c r="M42" s="224"/>
      <c r="N42" s="224"/>
      <c r="O42" s="224"/>
      <c r="P42" s="224"/>
      <c r="Q42" s="225"/>
      <c r="R42" s="64"/>
      <c r="S42" s="64"/>
      <c r="T42" s="64"/>
      <c r="U42" s="64"/>
      <c r="V42" s="64"/>
      <c r="W42" s="65"/>
    </row>
    <row r="43" spans="2:23" ht="29.25" thickBot="1">
      <c r="B43" s="80"/>
      <c r="C43" s="75" t="s">
        <v>174</v>
      </c>
      <c r="D43" s="230" t="str">
        <f>IF(OR(K29="",M29=""),"PERDEDOR J73",IF(K29&lt;M29,C29,N29))</f>
        <v>Real Madrid football clube</v>
      </c>
      <c r="E43" s="231"/>
      <c r="F43" s="231"/>
      <c r="G43" s="231"/>
      <c r="H43" s="231"/>
      <c r="I43" s="231"/>
      <c r="J43" s="231"/>
      <c r="K43" s="232"/>
      <c r="L43" s="149">
        <v>68.05</v>
      </c>
      <c r="M43" s="66" t="s">
        <v>43</v>
      </c>
      <c r="N43" s="151">
        <v>80.150000000000006</v>
      </c>
      <c r="O43" s="230" t="str">
        <f>IF(OR(K30="",M30=""),"PERDEDOR J74",IF(K30&lt;M30,C30,N30))</f>
        <v>ManchesterUrubu City</v>
      </c>
      <c r="P43" s="231"/>
      <c r="Q43" s="231"/>
      <c r="R43" s="231"/>
      <c r="S43" s="231"/>
      <c r="T43" s="231"/>
      <c r="U43" s="231"/>
      <c r="V43" s="231"/>
      <c r="W43" s="232"/>
    </row>
    <row r="44" spans="2:23" ht="29.25" thickBot="1">
      <c r="B44" s="80"/>
      <c r="C44" s="76" t="s">
        <v>175</v>
      </c>
      <c r="D44" s="216" t="str">
        <f>IF(OR(K31="",M31=""),"PERDEDOR J75",IF(K31&lt;M31,C31,N31))</f>
        <v>Raça Fl@ FC</v>
      </c>
      <c r="E44" s="217"/>
      <c r="F44" s="217"/>
      <c r="G44" s="217"/>
      <c r="H44" s="217"/>
      <c r="I44" s="217"/>
      <c r="J44" s="217"/>
      <c r="K44" s="218"/>
      <c r="L44" s="52">
        <v>85.05</v>
      </c>
      <c r="M44" s="53" t="s">
        <v>43</v>
      </c>
      <c r="N44" s="54">
        <v>63.25</v>
      </c>
      <c r="O44" s="216" t="str">
        <f>IF(OR(K32="",M32=""),"PERDEDOR J76",IF(K32&lt;M32,C32,N32))</f>
        <v>Bóia de Munique FC</v>
      </c>
      <c r="P44" s="217"/>
      <c r="Q44" s="217"/>
      <c r="R44" s="217"/>
      <c r="S44" s="217"/>
      <c r="T44" s="217"/>
      <c r="U44" s="217"/>
      <c r="V44" s="217"/>
      <c r="W44" s="218"/>
    </row>
    <row r="45" spans="2:23" ht="29.25" thickBot="1">
      <c r="B45" s="80"/>
      <c r="C45" s="75" t="s">
        <v>176</v>
      </c>
      <c r="D45" s="216" t="str">
        <f>IF(OR(K33="",M33=""),"PERDEDOR J77",IF(K33&lt;M33,C33,N33))</f>
        <v>Black sheep f.c</v>
      </c>
      <c r="E45" s="217"/>
      <c r="F45" s="217"/>
      <c r="G45" s="217"/>
      <c r="H45" s="217"/>
      <c r="I45" s="217"/>
      <c r="J45" s="217"/>
      <c r="K45" s="218"/>
      <c r="L45" s="148">
        <v>30.88</v>
      </c>
      <c r="M45" s="53" t="s">
        <v>43</v>
      </c>
      <c r="N45" s="150">
        <v>69.05</v>
      </c>
      <c r="O45" s="216" t="str">
        <f>IF(OR(K34="",M34=""),"PERDEDOR J78",IF(K34&lt;M34,C34,N34))</f>
        <v>Guiguizão fc</v>
      </c>
      <c r="P45" s="217"/>
      <c r="Q45" s="217"/>
      <c r="R45" s="217"/>
      <c r="S45" s="217"/>
      <c r="T45" s="217"/>
      <c r="U45" s="217"/>
      <c r="V45" s="217"/>
      <c r="W45" s="218"/>
    </row>
    <row r="46" spans="2:23" ht="29.25" thickBot="1">
      <c r="B46" s="80"/>
      <c r="C46" s="77" t="s">
        <v>177</v>
      </c>
      <c r="D46" s="216" t="str">
        <f>IF(OR(K35="",M35=""),"PERDEDOR J79",IF(K35&lt;M35,C35,N35))</f>
        <v>Nacyonal de Marabá</v>
      </c>
      <c r="E46" s="217"/>
      <c r="F46" s="217"/>
      <c r="G46" s="217"/>
      <c r="H46" s="217"/>
      <c r="I46" s="217"/>
      <c r="J46" s="217"/>
      <c r="K46" s="218"/>
      <c r="L46" s="97">
        <v>64.45</v>
      </c>
      <c r="M46" s="84" t="s">
        <v>43</v>
      </c>
      <c r="N46" s="98">
        <v>61.85</v>
      </c>
      <c r="O46" s="216" t="str">
        <f>IF(OR(K36="",M36=""),"PERDEDOR J80",IF(K36&lt;M36,C36,N36))</f>
        <v>FC Douglas Leal</v>
      </c>
      <c r="P46" s="217"/>
      <c r="Q46" s="217"/>
      <c r="R46" s="217"/>
      <c r="S46" s="217"/>
      <c r="T46" s="217"/>
      <c r="U46" s="217"/>
      <c r="V46" s="217"/>
      <c r="W46" s="218"/>
    </row>
    <row r="48" spans="2:23" ht="15.75" thickBot="1"/>
    <row r="49" spans="3:23" ht="15" customHeight="1">
      <c r="C49" s="213" t="s">
        <v>58</v>
      </c>
      <c r="D49" s="214"/>
      <c r="E49" s="214"/>
      <c r="F49" s="214"/>
      <c r="G49" s="214"/>
      <c r="H49" s="214"/>
      <c r="I49" s="214"/>
      <c r="J49" s="214"/>
      <c r="K49" s="214"/>
      <c r="L49" s="214"/>
      <c r="M49" s="214"/>
      <c r="N49" s="214"/>
      <c r="O49" s="214"/>
      <c r="P49" s="214"/>
      <c r="Q49" s="214"/>
      <c r="R49" s="214"/>
      <c r="S49" s="214"/>
      <c r="T49" s="214"/>
      <c r="U49" s="214"/>
      <c r="V49" s="214"/>
      <c r="W49" s="215"/>
    </row>
    <row r="50" spans="3:23" ht="15" customHeight="1">
      <c r="C50" s="185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94"/>
    </row>
    <row r="51" spans="3:23" ht="15.75" customHeight="1" thickBot="1">
      <c r="C51" s="188"/>
      <c r="D51" s="189"/>
      <c r="E51" s="189"/>
      <c r="F51" s="189"/>
      <c r="G51" s="189"/>
      <c r="H51" s="189"/>
      <c r="I51" s="189"/>
      <c r="J51" s="189"/>
      <c r="K51" s="189"/>
      <c r="L51" s="189"/>
      <c r="M51" s="189"/>
      <c r="N51" s="189"/>
      <c r="O51" s="189"/>
      <c r="P51" s="189"/>
      <c r="Q51" s="189"/>
      <c r="R51" s="189"/>
      <c r="S51" s="189"/>
      <c r="T51" s="189"/>
      <c r="U51" s="189"/>
      <c r="V51" s="189"/>
      <c r="W51" s="196"/>
    </row>
    <row r="52" spans="3:23" ht="15.75" customHeight="1">
      <c r="C52" s="49"/>
      <c r="D52" s="50"/>
      <c r="E52" s="50"/>
      <c r="F52" s="50"/>
      <c r="G52" s="50"/>
      <c r="H52" s="50"/>
      <c r="I52" s="50"/>
      <c r="J52" s="227" t="s">
        <v>137</v>
      </c>
      <c r="K52" s="228"/>
      <c r="L52" s="228"/>
      <c r="M52" s="228"/>
      <c r="N52" s="228"/>
      <c r="O52" s="228"/>
      <c r="P52" s="228"/>
      <c r="Q52" s="229"/>
      <c r="R52" s="50"/>
      <c r="S52" s="50"/>
      <c r="T52" s="50"/>
      <c r="U52" s="50"/>
      <c r="V52" s="50"/>
      <c r="W52" s="51"/>
    </row>
    <row r="53" spans="3:23" ht="12.75" customHeight="1" thickBot="1">
      <c r="C53" s="49"/>
      <c r="D53" s="50"/>
      <c r="E53" s="50"/>
      <c r="F53" s="50"/>
      <c r="G53" s="50"/>
      <c r="H53" s="50"/>
      <c r="I53" s="50"/>
      <c r="J53" s="223"/>
      <c r="K53" s="224"/>
      <c r="L53" s="224"/>
      <c r="M53" s="224"/>
      <c r="N53" s="224"/>
      <c r="O53" s="228"/>
      <c r="P53" s="228"/>
      <c r="Q53" s="229"/>
      <c r="R53" s="50"/>
      <c r="S53" s="50"/>
      <c r="T53" s="50"/>
      <c r="U53" s="50"/>
      <c r="V53" s="50"/>
      <c r="W53" s="51"/>
    </row>
    <row r="54" spans="3:23" ht="29.25" thickBot="1">
      <c r="C54" s="76" t="s">
        <v>178</v>
      </c>
      <c r="D54" s="216" t="str">
        <f>IF(OR(K29="",M29=""),"VENCEDOR J73",IF(K29&gt;M29,C29,N29))</f>
        <v>Valquerato</v>
      </c>
      <c r="E54" s="217"/>
      <c r="F54" s="217"/>
      <c r="G54" s="217"/>
      <c r="H54" s="217"/>
      <c r="I54" s="217"/>
      <c r="J54" s="217"/>
      <c r="K54" s="218"/>
      <c r="L54" s="52">
        <v>79.75</v>
      </c>
      <c r="M54" s="53" t="s">
        <v>43</v>
      </c>
      <c r="N54" s="54">
        <v>69.150000000000006</v>
      </c>
      <c r="O54" s="216" t="str">
        <f>IF(OR(K30="",M30=""),"VENCEDOR J74",IF(K30&gt;M30,C30,N30))</f>
        <v>Kappa Trentino</v>
      </c>
      <c r="P54" s="217"/>
      <c r="Q54" s="217"/>
      <c r="R54" s="217"/>
      <c r="S54" s="217"/>
      <c r="T54" s="217"/>
      <c r="U54" s="217"/>
      <c r="V54" s="217"/>
      <c r="W54" s="218"/>
    </row>
    <row r="55" spans="3:23" ht="29.25" thickBot="1">
      <c r="C55" s="76" t="s">
        <v>179</v>
      </c>
      <c r="D55" s="216" t="str">
        <f>IF(OR(K31="",M31=""),"VENCEDOR J75",IF(K31&gt;M31,C31,N31))</f>
        <v>PANZA FC</v>
      </c>
      <c r="E55" s="217"/>
      <c r="F55" s="217"/>
      <c r="G55" s="217"/>
      <c r="H55" s="217"/>
      <c r="I55" s="217"/>
      <c r="J55" s="217"/>
      <c r="K55" s="218"/>
      <c r="L55" s="52">
        <v>92.85</v>
      </c>
      <c r="M55" s="53" t="s">
        <v>43</v>
      </c>
      <c r="N55" s="54">
        <v>58.45</v>
      </c>
      <c r="O55" s="216" t="str">
        <f>IF(OR(K32="",M32=""),"VENCEDOR J76",IF(K32&gt;M32,C32,N32))</f>
        <v>sucupir@ Dortmund</v>
      </c>
      <c r="P55" s="217"/>
      <c r="Q55" s="217"/>
      <c r="R55" s="217"/>
      <c r="S55" s="217"/>
      <c r="T55" s="217"/>
      <c r="U55" s="217"/>
      <c r="V55" s="217"/>
      <c r="W55" s="218"/>
    </row>
    <row r="56" spans="3:23" ht="29.25" thickBot="1">
      <c r="C56" s="76" t="s">
        <v>180</v>
      </c>
      <c r="D56" s="216" t="str">
        <f>IF(OR(K33="",M33=""),"VENCEDOR J77",IF(K33&gt;M33,C33,N33))</f>
        <v>Bafulinos SC</v>
      </c>
      <c r="E56" s="217"/>
      <c r="F56" s="217"/>
      <c r="G56" s="217"/>
      <c r="H56" s="217"/>
      <c r="I56" s="217"/>
      <c r="J56" s="217"/>
      <c r="K56" s="218"/>
      <c r="L56" s="148">
        <v>66.650000000000006</v>
      </c>
      <c r="M56" s="53" t="s">
        <v>43</v>
      </c>
      <c r="N56" s="150">
        <v>85.65</v>
      </c>
      <c r="O56" s="216" t="str">
        <f>IF(OR(K34="",M34=""),"VENCEDOR J78",IF(K34&gt;M34,C34,N34))</f>
        <v>Galaticos  Alves FC</v>
      </c>
      <c r="P56" s="217"/>
      <c r="Q56" s="217"/>
      <c r="R56" s="217"/>
      <c r="S56" s="217"/>
      <c r="T56" s="217"/>
      <c r="U56" s="217"/>
      <c r="V56" s="217"/>
      <c r="W56" s="218"/>
    </row>
    <row r="57" spans="3:23" ht="29.25" thickBot="1">
      <c r="C57" s="77" t="s">
        <v>181</v>
      </c>
      <c r="D57" s="216" t="str">
        <f>IF(OR(K35="",M35=""),"VENCEDOR J79",IF(K35&gt;M35,C35,N35))</f>
        <v>The Snipers F.C.</v>
      </c>
      <c r="E57" s="217"/>
      <c r="F57" s="217"/>
      <c r="G57" s="217"/>
      <c r="H57" s="217"/>
      <c r="I57" s="217"/>
      <c r="J57" s="217"/>
      <c r="K57" s="218"/>
      <c r="L57" s="97">
        <v>78.25</v>
      </c>
      <c r="M57" s="84" t="s">
        <v>43</v>
      </c>
      <c r="N57" s="98">
        <v>82.77</v>
      </c>
      <c r="O57" s="216" t="str">
        <f>IF(OR(K36="",M36=""),"VENCEDOR J80",IF(K36&gt;M36,C36,N36))</f>
        <v>UBDC FC</v>
      </c>
      <c r="P57" s="217"/>
      <c r="Q57" s="217"/>
      <c r="R57" s="217"/>
      <c r="S57" s="217"/>
      <c r="T57" s="217"/>
      <c r="U57" s="217"/>
      <c r="V57" s="217"/>
      <c r="W57" s="218"/>
    </row>
    <row r="58" spans="3:23" ht="15" customHeight="1" thickBot="1">
      <c r="C58" s="55"/>
      <c r="D58" s="56"/>
      <c r="E58" s="56"/>
      <c r="F58" s="56"/>
      <c r="G58" s="56"/>
      <c r="H58" s="56"/>
      <c r="I58" s="56"/>
      <c r="J58" s="56"/>
      <c r="K58" s="56"/>
      <c r="L58" s="57"/>
      <c r="M58" s="58"/>
      <c r="N58" s="59"/>
      <c r="O58" s="59"/>
      <c r="P58" s="59"/>
      <c r="Q58" s="59"/>
      <c r="R58" s="59"/>
      <c r="S58" s="59"/>
      <c r="T58" s="59"/>
      <c r="U58" s="59"/>
    </row>
    <row r="59" spans="3:23" ht="15" customHeight="1">
      <c r="C59" s="213" t="s">
        <v>63</v>
      </c>
      <c r="D59" s="214"/>
      <c r="E59" s="214"/>
      <c r="F59" s="214"/>
      <c r="G59" s="214"/>
      <c r="H59" s="214"/>
      <c r="I59" s="214"/>
      <c r="J59" s="214"/>
      <c r="K59" s="214"/>
      <c r="L59" s="214"/>
      <c r="M59" s="214"/>
      <c r="N59" s="214"/>
      <c r="O59" s="214"/>
      <c r="P59" s="214"/>
      <c r="Q59" s="214"/>
      <c r="R59" s="214"/>
      <c r="S59" s="214"/>
      <c r="T59" s="214"/>
      <c r="U59" s="214"/>
      <c r="V59" s="214"/>
      <c r="W59" s="215"/>
    </row>
    <row r="60" spans="3:23" ht="15" customHeight="1">
      <c r="C60" s="185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94"/>
    </row>
    <row r="61" spans="3:23" ht="15.75" customHeight="1" thickBot="1">
      <c r="C61" s="188"/>
      <c r="D61" s="189"/>
      <c r="E61" s="189"/>
      <c r="F61" s="189"/>
      <c r="G61" s="189"/>
      <c r="H61" s="189"/>
      <c r="I61" s="189"/>
      <c r="J61" s="189"/>
      <c r="K61" s="189"/>
      <c r="L61" s="189"/>
      <c r="M61" s="189"/>
      <c r="N61" s="189"/>
      <c r="O61" s="189"/>
      <c r="P61" s="189"/>
      <c r="Q61" s="189"/>
      <c r="R61" s="189"/>
      <c r="S61" s="189"/>
      <c r="T61" s="189"/>
      <c r="U61" s="189"/>
      <c r="V61" s="189"/>
      <c r="W61" s="196"/>
    </row>
    <row r="62" spans="3:23" ht="14.25" customHeight="1">
      <c r="C62" s="49"/>
      <c r="D62" s="50"/>
      <c r="E62" s="50"/>
      <c r="F62" s="50"/>
      <c r="G62" s="50"/>
      <c r="H62" s="50"/>
      <c r="I62" s="60"/>
      <c r="J62" s="220" t="s">
        <v>138</v>
      </c>
      <c r="K62" s="221"/>
      <c r="L62" s="221"/>
      <c r="M62" s="221"/>
      <c r="N62" s="221"/>
      <c r="O62" s="221"/>
      <c r="P62" s="221"/>
      <c r="Q62" s="222"/>
      <c r="R62" s="61"/>
      <c r="S62" s="62"/>
      <c r="T62" s="50"/>
      <c r="U62" s="50"/>
      <c r="V62" s="50"/>
      <c r="W62" s="51"/>
    </row>
    <row r="63" spans="3:23" ht="18" customHeight="1" thickBot="1">
      <c r="C63" s="49"/>
      <c r="D63" s="50"/>
      <c r="E63" s="50"/>
      <c r="F63" s="50"/>
      <c r="G63" s="50"/>
      <c r="H63" s="50"/>
      <c r="I63" s="63"/>
      <c r="J63" s="223"/>
      <c r="K63" s="224"/>
      <c r="L63" s="224"/>
      <c r="M63" s="224"/>
      <c r="N63" s="224"/>
      <c r="O63" s="224"/>
      <c r="P63" s="224"/>
      <c r="Q63" s="225"/>
      <c r="R63" s="64"/>
      <c r="S63" s="65"/>
      <c r="T63" s="50"/>
      <c r="U63" s="50"/>
      <c r="V63" s="50"/>
      <c r="W63" s="51"/>
    </row>
    <row r="64" spans="3:23" ht="29.25" thickBot="1">
      <c r="C64" s="76" t="s">
        <v>182</v>
      </c>
      <c r="D64" s="216" t="str">
        <f>IF(OR(L43="",N43=""),"PERDEDOR J81",IF(L43&lt;N43,D43,O43))</f>
        <v>Real Madrid football clube</v>
      </c>
      <c r="E64" s="217"/>
      <c r="F64" s="217"/>
      <c r="G64" s="217"/>
      <c r="H64" s="217"/>
      <c r="I64" s="217"/>
      <c r="J64" s="217"/>
      <c r="K64" s="218"/>
      <c r="L64" s="250">
        <v>61.55</v>
      </c>
      <c r="M64" s="66" t="s">
        <v>43</v>
      </c>
      <c r="N64" s="249">
        <v>58.42</v>
      </c>
      <c r="O64" s="216" t="str">
        <f>IF(OR(L44="",N44=""),"PERDEDOR J82",IF(L44&lt;N44,D44,O44))</f>
        <v>Bóia de Munique FC</v>
      </c>
      <c r="P64" s="217"/>
      <c r="Q64" s="217"/>
      <c r="R64" s="217"/>
      <c r="S64" s="217"/>
      <c r="T64" s="217"/>
      <c r="U64" s="217"/>
      <c r="V64" s="217"/>
      <c r="W64" s="218"/>
    </row>
    <row r="65" spans="3:23" ht="29.25" thickBot="1">
      <c r="C65" s="77" t="s">
        <v>183</v>
      </c>
      <c r="D65" s="216" t="str">
        <f>IF(OR(L45="",N45=""),"PERDEDOR J83",IF(L45&lt;N45,D45,O45))</f>
        <v>Black sheep f.c</v>
      </c>
      <c r="E65" s="217"/>
      <c r="F65" s="217"/>
      <c r="G65" s="217"/>
      <c r="H65" s="217"/>
      <c r="I65" s="217"/>
      <c r="J65" s="217"/>
      <c r="K65" s="218"/>
      <c r="L65" s="97">
        <v>75.680000000000007</v>
      </c>
      <c r="M65" s="84" t="s">
        <v>43</v>
      </c>
      <c r="N65" s="98">
        <v>52.22</v>
      </c>
      <c r="O65" s="216" t="str">
        <f>IF(OR(L46="",N46=""),"PERDEDOR J84",IF(L46&lt;N46,D46,O46))</f>
        <v>FC Douglas Leal</v>
      </c>
      <c r="P65" s="217"/>
      <c r="Q65" s="217"/>
      <c r="R65" s="217"/>
      <c r="S65" s="217"/>
      <c r="T65" s="217"/>
      <c r="U65" s="217"/>
      <c r="V65" s="217"/>
      <c r="W65" s="218"/>
    </row>
    <row r="66" spans="3:23" ht="29.25" thickBot="1">
      <c r="C66" s="80"/>
      <c r="D66" s="56"/>
      <c r="E66" s="56"/>
      <c r="F66" s="56"/>
      <c r="G66" s="56"/>
      <c r="H66" s="56"/>
      <c r="I66" s="56"/>
      <c r="J66" s="56"/>
      <c r="K66" s="56"/>
      <c r="L66" s="99"/>
      <c r="M66" s="58"/>
      <c r="N66" s="99"/>
      <c r="O66" s="56"/>
      <c r="P66" s="56"/>
      <c r="Q66" s="56"/>
      <c r="R66" s="56"/>
      <c r="S66" s="56"/>
      <c r="T66" s="56"/>
      <c r="U66" s="56"/>
      <c r="V66" s="56"/>
      <c r="W66" s="56"/>
    </row>
    <row r="67" spans="3:23">
      <c r="C67" s="213" t="s">
        <v>53</v>
      </c>
      <c r="D67" s="214"/>
      <c r="E67" s="214"/>
      <c r="F67" s="214"/>
      <c r="G67" s="214"/>
      <c r="H67" s="214"/>
      <c r="I67" s="214"/>
      <c r="J67" s="214"/>
      <c r="K67" s="214"/>
      <c r="L67" s="214"/>
      <c r="M67" s="214"/>
      <c r="N67" s="214"/>
      <c r="O67" s="214"/>
      <c r="P67" s="214"/>
      <c r="Q67" s="214"/>
      <c r="R67" s="214"/>
      <c r="S67" s="214"/>
      <c r="T67" s="214"/>
      <c r="U67" s="214"/>
      <c r="V67" s="214"/>
      <c r="W67" s="215"/>
    </row>
    <row r="68" spans="3:23">
      <c r="C68" s="185"/>
      <c r="D68" s="186"/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6"/>
      <c r="Q68" s="186"/>
      <c r="R68" s="186"/>
      <c r="S68" s="186"/>
      <c r="T68" s="186"/>
      <c r="U68" s="186"/>
      <c r="V68" s="186"/>
      <c r="W68" s="194"/>
    </row>
    <row r="69" spans="3:23" ht="15.75" thickBot="1">
      <c r="C69" s="188"/>
      <c r="D69" s="189"/>
      <c r="E69" s="189"/>
      <c r="F69" s="189"/>
      <c r="G69" s="189"/>
      <c r="H69" s="189"/>
      <c r="I69" s="189"/>
      <c r="J69" s="189"/>
      <c r="K69" s="189"/>
      <c r="L69" s="189"/>
      <c r="M69" s="189"/>
      <c r="N69" s="189"/>
      <c r="O69" s="189"/>
      <c r="P69" s="189"/>
      <c r="Q69" s="189"/>
      <c r="R69" s="189"/>
      <c r="S69" s="189"/>
      <c r="T69" s="189"/>
      <c r="U69" s="189"/>
      <c r="V69" s="189"/>
      <c r="W69" s="196"/>
    </row>
    <row r="70" spans="3:23" ht="18.75" customHeight="1">
      <c r="C70" s="49"/>
      <c r="D70" s="50"/>
      <c r="E70" s="50"/>
      <c r="F70" s="50"/>
      <c r="G70" s="50"/>
      <c r="H70" s="50"/>
      <c r="I70" s="50"/>
      <c r="J70" s="220" t="s">
        <v>138</v>
      </c>
      <c r="K70" s="221"/>
      <c r="L70" s="221"/>
      <c r="M70" s="221"/>
      <c r="N70" s="221"/>
      <c r="O70" s="221"/>
      <c r="P70" s="221"/>
      <c r="Q70" s="222"/>
      <c r="R70" s="50"/>
      <c r="S70" s="50"/>
      <c r="T70" s="50"/>
      <c r="U70" s="186"/>
      <c r="V70" s="186"/>
      <c r="W70" s="194"/>
    </row>
    <row r="71" spans="3:23" ht="17.25" customHeight="1" thickBot="1">
      <c r="C71" s="49"/>
      <c r="D71" s="50"/>
      <c r="E71" s="50"/>
      <c r="F71" s="50"/>
      <c r="G71" s="50"/>
      <c r="H71" s="50"/>
      <c r="I71" s="50"/>
      <c r="J71" s="223"/>
      <c r="K71" s="224"/>
      <c r="L71" s="224"/>
      <c r="M71" s="224"/>
      <c r="N71" s="224"/>
      <c r="O71" s="224"/>
      <c r="P71" s="224"/>
      <c r="Q71" s="225"/>
      <c r="R71" s="50"/>
      <c r="S71" s="50"/>
      <c r="T71" s="50"/>
      <c r="U71" s="186"/>
      <c r="V71" s="186"/>
      <c r="W71" s="194"/>
    </row>
    <row r="72" spans="3:23" ht="29.25" thickBot="1">
      <c r="C72" s="77" t="s">
        <v>184</v>
      </c>
      <c r="D72" s="216" t="str">
        <f>IF(OR(L43="",N43=""),"VENCEDOR J81",IF(L43&gt;N43,D43,O43))</f>
        <v>ManchesterUrubu City</v>
      </c>
      <c r="E72" s="217"/>
      <c r="F72" s="217"/>
      <c r="G72" s="217"/>
      <c r="H72" s="217"/>
      <c r="I72" s="217"/>
      <c r="J72" s="217"/>
      <c r="K72" s="218"/>
      <c r="L72" s="52">
        <v>71.22</v>
      </c>
      <c r="M72" s="53" t="s">
        <v>43</v>
      </c>
      <c r="N72" s="54">
        <v>62.52</v>
      </c>
      <c r="O72" s="216" t="str">
        <f>IF(OR(L44="",N44=""),"VENCEDOR J82",IF(L44&gt;N44,D44,O44))</f>
        <v>Raça Fl@ FC</v>
      </c>
      <c r="P72" s="217"/>
      <c r="Q72" s="217"/>
      <c r="R72" s="217"/>
      <c r="S72" s="217"/>
      <c r="T72" s="217"/>
      <c r="U72" s="217"/>
      <c r="V72" s="217"/>
      <c r="W72" s="218"/>
    </row>
    <row r="73" spans="3:23" ht="29.25" thickBot="1">
      <c r="C73" s="77" t="s">
        <v>185</v>
      </c>
      <c r="D73" s="216" t="str">
        <f>IF(OR(L45="",N45=""),"VENCEDOR J83",IF(L45&gt;N45,D45,O45))</f>
        <v>Guiguizão fc</v>
      </c>
      <c r="E73" s="217"/>
      <c r="F73" s="217"/>
      <c r="G73" s="217"/>
      <c r="H73" s="217"/>
      <c r="I73" s="217"/>
      <c r="J73" s="217"/>
      <c r="K73" s="218"/>
      <c r="L73" s="97">
        <v>69.72</v>
      </c>
      <c r="M73" s="84" t="s">
        <v>43</v>
      </c>
      <c r="N73" s="98">
        <v>38.15</v>
      </c>
      <c r="O73" s="216" t="str">
        <f>IF(OR(L46="",N46=""),"VENCEDOR J84",IF(L46&gt;N46,D46,O46))</f>
        <v>Nacyonal de Marabá</v>
      </c>
      <c r="P73" s="217"/>
      <c r="Q73" s="217"/>
      <c r="R73" s="217"/>
      <c r="S73" s="217"/>
      <c r="T73" s="217"/>
      <c r="U73" s="217"/>
      <c r="V73" s="217"/>
      <c r="W73" s="218"/>
    </row>
    <row r="74" spans="3:23" ht="29.25" thickBot="1">
      <c r="C74" s="80"/>
      <c r="D74" s="56"/>
      <c r="E74" s="56"/>
      <c r="F74" s="56"/>
      <c r="G74" s="56"/>
      <c r="H74" s="56"/>
      <c r="I74" s="56"/>
      <c r="J74" s="56"/>
      <c r="K74" s="56"/>
      <c r="L74" s="99"/>
      <c r="M74" s="58"/>
      <c r="N74" s="99"/>
      <c r="O74" s="56"/>
      <c r="P74" s="56"/>
      <c r="Q74" s="56"/>
      <c r="R74" s="56"/>
      <c r="S74" s="56"/>
      <c r="T74" s="56"/>
      <c r="U74" s="56"/>
      <c r="V74" s="56"/>
      <c r="W74" s="56"/>
    </row>
    <row r="75" spans="3:23" ht="15" customHeight="1">
      <c r="C75" s="213" t="s">
        <v>68</v>
      </c>
      <c r="D75" s="214"/>
      <c r="E75" s="214"/>
      <c r="F75" s="214"/>
      <c r="G75" s="214"/>
      <c r="H75" s="214"/>
      <c r="I75" s="214"/>
      <c r="J75" s="214"/>
      <c r="K75" s="214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5"/>
    </row>
    <row r="76" spans="3:23" ht="15" customHeight="1">
      <c r="C76" s="185"/>
      <c r="D76" s="186"/>
      <c r="E76" s="186"/>
      <c r="F76" s="186"/>
      <c r="G76" s="186"/>
      <c r="H76" s="186"/>
      <c r="I76" s="186"/>
      <c r="J76" s="186"/>
      <c r="K76" s="186"/>
      <c r="L76" s="186"/>
      <c r="M76" s="186"/>
      <c r="N76" s="186"/>
      <c r="O76" s="186"/>
      <c r="P76" s="186"/>
      <c r="Q76" s="186"/>
      <c r="R76" s="186"/>
      <c r="S76" s="186"/>
      <c r="T76" s="186"/>
      <c r="U76" s="186"/>
      <c r="V76" s="186"/>
      <c r="W76" s="194"/>
    </row>
    <row r="77" spans="3:23" ht="15.75" customHeight="1" thickBot="1">
      <c r="C77" s="188"/>
      <c r="D77" s="189"/>
      <c r="E77" s="189"/>
      <c r="F77" s="189"/>
      <c r="G77" s="189"/>
      <c r="H77" s="189"/>
      <c r="I77" s="189"/>
      <c r="J77" s="189"/>
      <c r="K77" s="189"/>
      <c r="L77" s="189"/>
      <c r="M77" s="189"/>
      <c r="N77" s="189"/>
      <c r="O77" s="189"/>
      <c r="P77" s="189"/>
      <c r="Q77" s="189"/>
      <c r="R77" s="189"/>
      <c r="S77" s="189"/>
      <c r="T77" s="189"/>
      <c r="U77" s="189"/>
      <c r="V77" s="189"/>
      <c r="W77" s="196"/>
    </row>
    <row r="78" spans="3:23" ht="18" customHeight="1">
      <c r="C78" s="49"/>
      <c r="D78" s="50"/>
      <c r="E78" s="50"/>
      <c r="F78" s="50"/>
      <c r="G78" s="50"/>
      <c r="H78" s="50"/>
      <c r="I78" s="50"/>
      <c r="J78" s="220" t="s">
        <v>138</v>
      </c>
      <c r="K78" s="221"/>
      <c r="L78" s="221"/>
      <c r="M78" s="221"/>
      <c r="N78" s="221"/>
      <c r="O78" s="221"/>
      <c r="P78" s="221"/>
      <c r="Q78" s="222"/>
      <c r="R78" s="50"/>
      <c r="S78" s="50"/>
      <c r="T78" s="50"/>
      <c r="U78" s="186"/>
      <c r="V78" s="186"/>
      <c r="W78" s="194"/>
    </row>
    <row r="79" spans="3:23" ht="17.25" customHeight="1" thickBot="1">
      <c r="C79" s="49"/>
      <c r="D79" s="50"/>
      <c r="E79" s="50"/>
      <c r="F79" s="50"/>
      <c r="G79" s="50"/>
      <c r="H79" s="50"/>
      <c r="I79" s="50"/>
      <c r="J79" s="223"/>
      <c r="K79" s="224"/>
      <c r="L79" s="224"/>
      <c r="M79" s="224"/>
      <c r="N79" s="224"/>
      <c r="O79" s="224"/>
      <c r="P79" s="224"/>
      <c r="Q79" s="225"/>
      <c r="R79" s="50"/>
      <c r="S79" s="50"/>
      <c r="T79" s="50"/>
      <c r="U79" s="186"/>
      <c r="V79" s="186"/>
      <c r="W79" s="194"/>
    </row>
    <row r="80" spans="3:23" ht="29.25" thickBot="1">
      <c r="C80" s="77" t="s">
        <v>186</v>
      </c>
      <c r="D80" s="216" t="str">
        <f>IF(OR(L54="",N54=""),"PERDEDOR J85",IF(L54&lt;N54,D54,O54))</f>
        <v>Kappa Trentino</v>
      </c>
      <c r="E80" s="217"/>
      <c r="F80" s="217"/>
      <c r="G80" s="217"/>
      <c r="H80" s="217"/>
      <c r="I80" s="217"/>
      <c r="J80" s="217"/>
      <c r="K80" s="218"/>
      <c r="L80" s="148">
        <v>83.45</v>
      </c>
      <c r="M80" s="53" t="s">
        <v>43</v>
      </c>
      <c r="N80" s="150">
        <v>92.62</v>
      </c>
      <c r="O80" s="216" t="str">
        <f>IF(OR(L55="",N55=""),"PERDEDOR J86",IF(L55&lt;N55,D55,O55))</f>
        <v>sucupir@ Dortmund</v>
      </c>
      <c r="P80" s="217"/>
      <c r="Q80" s="217"/>
      <c r="R80" s="217"/>
      <c r="S80" s="217"/>
      <c r="T80" s="217"/>
      <c r="U80" s="217"/>
      <c r="V80" s="217"/>
      <c r="W80" s="218"/>
    </row>
    <row r="81" spans="3:23" ht="29.25" thickBot="1">
      <c r="C81" s="77" t="s">
        <v>187</v>
      </c>
      <c r="D81" s="216" t="str">
        <f>IF(OR(L56="",N56=""),"PERDEDOR J87",IF(L56&lt;N56,D56,O56))</f>
        <v>Bafulinos SC</v>
      </c>
      <c r="E81" s="217"/>
      <c r="F81" s="217"/>
      <c r="G81" s="217"/>
      <c r="H81" s="217"/>
      <c r="I81" s="217"/>
      <c r="J81" s="217"/>
      <c r="K81" s="218"/>
      <c r="L81" s="97">
        <v>76.02</v>
      </c>
      <c r="M81" s="84" t="s">
        <v>43</v>
      </c>
      <c r="N81" s="98">
        <v>56.32</v>
      </c>
      <c r="O81" s="216" t="str">
        <f>IF(OR(L57="",N57=""),"PERDEDOR J88",IF(L57&lt;N57,D57,O57))</f>
        <v>The Snipers F.C.</v>
      </c>
      <c r="P81" s="217"/>
      <c r="Q81" s="217"/>
      <c r="R81" s="217"/>
      <c r="S81" s="217"/>
      <c r="T81" s="217"/>
      <c r="U81" s="217"/>
      <c r="V81" s="217"/>
      <c r="W81" s="218"/>
    </row>
    <row r="82" spans="3:23" ht="16.5" customHeight="1" thickBot="1">
      <c r="C82" s="55"/>
      <c r="D82" s="56"/>
      <c r="E82" s="56"/>
      <c r="F82" s="56"/>
      <c r="G82" s="56"/>
      <c r="H82" s="56"/>
      <c r="I82" s="56"/>
      <c r="J82" s="56"/>
      <c r="K82" s="56"/>
      <c r="L82" s="57"/>
      <c r="M82" s="58"/>
      <c r="N82" s="59"/>
      <c r="O82" s="59"/>
      <c r="P82" s="59"/>
      <c r="Q82" s="59"/>
      <c r="R82" s="59"/>
      <c r="S82" s="59"/>
      <c r="T82" s="59"/>
      <c r="U82" s="59"/>
    </row>
    <row r="83" spans="3:23" ht="15" customHeight="1">
      <c r="C83" s="213" t="s">
        <v>173</v>
      </c>
      <c r="D83" s="214"/>
      <c r="E83" s="214"/>
      <c r="F83" s="214"/>
      <c r="G83" s="214"/>
      <c r="H83" s="214"/>
      <c r="I83" s="214"/>
      <c r="J83" s="214"/>
      <c r="K83" s="214"/>
      <c r="L83" s="214"/>
      <c r="M83" s="214"/>
      <c r="N83" s="214"/>
      <c r="O83" s="214"/>
      <c r="P83" s="214"/>
      <c r="Q83" s="214"/>
      <c r="R83" s="214"/>
      <c r="S83" s="214"/>
      <c r="T83" s="214"/>
      <c r="U83" s="214"/>
      <c r="V83" s="214"/>
      <c r="W83" s="215"/>
    </row>
    <row r="84" spans="3:23" ht="15" customHeight="1">
      <c r="C84" s="185"/>
      <c r="D84" s="186"/>
      <c r="E84" s="186"/>
      <c r="F84" s="186"/>
      <c r="G84" s="186"/>
      <c r="H84" s="186"/>
      <c r="I84" s="186"/>
      <c r="J84" s="186"/>
      <c r="K84" s="186"/>
      <c r="L84" s="186"/>
      <c r="M84" s="186"/>
      <c r="N84" s="186"/>
      <c r="O84" s="186"/>
      <c r="P84" s="186"/>
      <c r="Q84" s="186"/>
      <c r="R84" s="186"/>
      <c r="S84" s="186"/>
      <c r="T84" s="186"/>
      <c r="U84" s="186"/>
      <c r="V84" s="186"/>
      <c r="W84" s="194"/>
    </row>
    <row r="85" spans="3:23" ht="15.75" customHeight="1" thickBot="1">
      <c r="C85" s="188"/>
      <c r="D85" s="189"/>
      <c r="E85" s="189"/>
      <c r="F85" s="189"/>
      <c r="G85" s="189"/>
      <c r="H85" s="189"/>
      <c r="I85" s="189"/>
      <c r="J85" s="189"/>
      <c r="K85" s="189"/>
      <c r="L85" s="189"/>
      <c r="M85" s="189"/>
      <c r="N85" s="189"/>
      <c r="O85" s="189"/>
      <c r="P85" s="189"/>
      <c r="Q85" s="189"/>
      <c r="R85" s="189"/>
      <c r="S85" s="189"/>
      <c r="T85" s="189"/>
      <c r="U85" s="189"/>
      <c r="V85" s="189"/>
      <c r="W85" s="196"/>
    </row>
    <row r="86" spans="3:23" ht="15.75" customHeight="1">
      <c r="C86" s="49"/>
      <c r="D86" s="50"/>
      <c r="E86" s="50"/>
      <c r="F86" s="50"/>
      <c r="G86" s="50"/>
      <c r="H86" s="50"/>
      <c r="I86" s="50"/>
      <c r="J86" s="220" t="s">
        <v>138</v>
      </c>
      <c r="K86" s="221"/>
      <c r="L86" s="221"/>
      <c r="M86" s="221"/>
      <c r="N86" s="221"/>
      <c r="O86" s="221"/>
      <c r="P86" s="221"/>
      <c r="Q86" s="222"/>
      <c r="R86" s="50"/>
      <c r="S86" s="50"/>
      <c r="T86" s="50"/>
      <c r="U86" s="186"/>
      <c r="V86" s="186"/>
      <c r="W86" s="194"/>
    </row>
    <row r="87" spans="3:23" ht="14.25" customHeight="1" thickBot="1">
      <c r="C87" s="49"/>
      <c r="D87" s="50"/>
      <c r="E87" s="50"/>
      <c r="F87" s="50"/>
      <c r="G87" s="50"/>
      <c r="H87" s="50"/>
      <c r="I87" s="50"/>
      <c r="J87" s="223"/>
      <c r="K87" s="224"/>
      <c r="L87" s="224"/>
      <c r="M87" s="224"/>
      <c r="N87" s="224"/>
      <c r="O87" s="224"/>
      <c r="P87" s="224"/>
      <c r="Q87" s="225"/>
      <c r="R87" s="50"/>
      <c r="S87" s="50"/>
      <c r="T87" s="50"/>
      <c r="U87" s="186"/>
      <c r="V87" s="186"/>
      <c r="W87" s="194"/>
    </row>
    <row r="88" spans="3:23" ht="29.25" thickBot="1">
      <c r="C88" s="77" t="s">
        <v>188</v>
      </c>
      <c r="D88" s="216" t="str">
        <f>IF(OR(L54="",N54=""),"VENCEDOR J85",IF(L54&gt;N54,D54,O54))</f>
        <v>Valquerato</v>
      </c>
      <c r="E88" s="217"/>
      <c r="F88" s="217"/>
      <c r="G88" s="217"/>
      <c r="H88" s="217"/>
      <c r="I88" s="217"/>
      <c r="J88" s="217"/>
      <c r="K88" s="218"/>
      <c r="L88" s="148">
        <v>34.72</v>
      </c>
      <c r="M88" s="53" t="s">
        <v>43</v>
      </c>
      <c r="N88" s="150">
        <v>69.98</v>
      </c>
      <c r="O88" s="216" t="str">
        <f>IF(OR(L55="",N55=""),"VENCEDOR J86",IF(L55&gt;N55,D55,O55))</f>
        <v>PANZA FC</v>
      </c>
      <c r="P88" s="217"/>
      <c r="Q88" s="217"/>
      <c r="R88" s="217"/>
      <c r="S88" s="217"/>
      <c r="T88" s="217"/>
      <c r="U88" s="217"/>
      <c r="V88" s="217"/>
      <c r="W88" s="218"/>
    </row>
    <row r="89" spans="3:23" ht="29.25" thickBot="1">
      <c r="C89" s="77" t="s">
        <v>189</v>
      </c>
      <c r="D89" s="216" t="str">
        <f>IF(OR(L56="",N56=""),"VENCEDOR J87",IF(L56&gt;N56,D56,O56))</f>
        <v>Galaticos  Alves FC</v>
      </c>
      <c r="E89" s="217"/>
      <c r="F89" s="217"/>
      <c r="G89" s="217"/>
      <c r="H89" s="217"/>
      <c r="I89" s="217"/>
      <c r="J89" s="217"/>
      <c r="K89" s="218"/>
      <c r="L89" s="97">
        <v>70.02</v>
      </c>
      <c r="M89" s="84" t="s">
        <v>43</v>
      </c>
      <c r="N89" s="98">
        <v>65.02</v>
      </c>
      <c r="O89" s="216" t="str">
        <f>IF(OR(L57="",N57=""),"VENCEDOR J88",IF(L57&gt;N57,D8,O57))</f>
        <v>UBDC FC</v>
      </c>
      <c r="P89" s="217"/>
      <c r="Q89" s="217"/>
      <c r="R89" s="217"/>
      <c r="S89" s="217"/>
      <c r="T89" s="217"/>
      <c r="U89" s="217"/>
      <c r="V89" s="217"/>
      <c r="W89" s="218"/>
    </row>
    <row r="90" spans="3:23" ht="15.75" thickBot="1">
      <c r="C90" s="55"/>
      <c r="D90" s="55"/>
      <c r="E90" s="55"/>
      <c r="F90" s="55"/>
      <c r="G90" s="55"/>
      <c r="H90" s="55"/>
      <c r="I90" s="55"/>
      <c r="J90" s="55"/>
      <c r="K90" s="55"/>
      <c r="L90" s="59"/>
      <c r="M90" s="58"/>
      <c r="N90" s="57"/>
      <c r="O90" s="57"/>
      <c r="P90" s="57"/>
      <c r="Q90" s="57"/>
      <c r="R90" s="57"/>
      <c r="S90" s="57"/>
      <c r="T90" s="57"/>
      <c r="U90" s="57"/>
    </row>
    <row r="91" spans="3:23" ht="15" customHeight="1">
      <c r="C91" s="213" t="s">
        <v>73</v>
      </c>
      <c r="D91" s="214"/>
      <c r="E91" s="214"/>
      <c r="F91" s="214"/>
      <c r="G91" s="214"/>
      <c r="H91" s="214"/>
      <c r="I91" s="214"/>
      <c r="J91" s="214"/>
      <c r="K91" s="214"/>
      <c r="L91" s="214"/>
      <c r="M91" s="214"/>
      <c r="N91" s="214"/>
      <c r="O91" s="214"/>
      <c r="P91" s="214"/>
      <c r="Q91" s="214"/>
      <c r="R91" s="214"/>
      <c r="S91" s="214"/>
      <c r="T91" s="214"/>
      <c r="U91" s="214"/>
      <c r="V91" s="214"/>
      <c r="W91" s="215"/>
    </row>
    <row r="92" spans="3:23" ht="15" customHeight="1">
      <c r="C92" s="185"/>
      <c r="D92" s="186"/>
      <c r="E92" s="186"/>
      <c r="F92" s="186"/>
      <c r="G92" s="186"/>
      <c r="H92" s="186"/>
      <c r="I92" s="186"/>
      <c r="J92" s="186"/>
      <c r="K92" s="186"/>
      <c r="L92" s="186"/>
      <c r="M92" s="186"/>
      <c r="N92" s="186"/>
      <c r="O92" s="186"/>
      <c r="P92" s="186"/>
      <c r="Q92" s="186"/>
      <c r="R92" s="186"/>
      <c r="S92" s="186"/>
      <c r="T92" s="186"/>
      <c r="U92" s="186"/>
      <c r="V92" s="186"/>
      <c r="W92" s="194"/>
    </row>
    <row r="93" spans="3:23" ht="15.75" customHeight="1" thickBot="1">
      <c r="C93" s="188"/>
      <c r="D93" s="189"/>
      <c r="E93" s="189"/>
      <c r="F93" s="189"/>
      <c r="G93" s="189"/>
      <c r="H93" s="189"/>
      <c r="I93" s="189"/>
      <c r="J93" s="189"/>
      <c r="K93" s="189"/>
      <c r="L93" s="189"/>
      <c r="M93" s="189"/>
      <c r="N93" s="189"/>
      <c r="O93" s="189"/>
      <c r="P93" s="189"/>
      <c r="Q93" s="189"/>
      <c r="R93" s="189"/>
      <c r="S93" s="189"/>
      <c r="T93" s="189"/>
      <c r="U93" s="189"/>
      <c r="V93" s="189"/>
      <c r="W93" s="196"/>
    </row>
    <row r="94" spans="3:23" ht="17.25" customHeight="1">
      <c r="C94" s="49"/>
      <c r="D94" s="50"/>
      <c r="E94" s="50"/>
      <c r="F94" s="50"/>
      <c r="G94" s="50"/>
      <c r="H94" s="50"/>
      <c r="I94" s="50"/>
      <c r="J94" s="220" t="s">
        <v>326</v>
      </c>
      <c r="K94" s="221"/>
      <c r="L94" s="221"/>
      <c r="M94" s="221"/>
      <c r="N94" s="221"/>
      <c r="O94" s="221"/>
      <c r="P94" s="221"/>
      <c r="Q94" s="222"/>
      <c r="R94" s="213"/>
      <c r="S94" s="214"/>
      <c r="T94" s="214"/>
      <c r="U94" s="214"/>
      <c r="V94" s="214"/>
      <c r="W94" s="215"/>
    </row>
    <row r="95" spans="3:23" ht="17.25" customHeight="1" thickBot="1">
      <c r="C95" s="49"/>
      <c r="D95" s="50"/>
      <c r="E95" s="50"/>
      <c r="F95" s="50"/>
      <c r="G95" s="50"/>
      <c r="H95" s="50"/>
      <c r="I95" s="50"/>
      <c r="J95" s="223"/>
      <c r="K95" s="224"/>
      <c r="L95" s="224"/>
      <c r="M95" s="224"/>
      <c r="N95" s="224"/>
      <c r="O95" s="224"/>
      <c r="P95" s="224"/>
      <c r="Q95" s="225"/>
      <c r="R95" s="188"/>
      <c r="S95" s="189"/>
      <c r="T95" s="189"/>
      <c r="U95" s="189"/>
      <c r="V95" s="189"/>
      <c r="W95" s="196"/>
    </row>
    <row r="96" spans="3:23" ht="29.25" thickBot="1">
      <c r="C96" s="86" t="s">
        <v>190</v>
      </c>
      <c r="D96" s="216" t="str">
        <f>IF(OR(L64="",N64=""),"PERDEDOR J89",IF(L64&lt;N64,D64,O64))</f>
        <v>Bóia de Munique FC</v>
      </c>
      <c r="E96" s="217"/>
      <c r="F96" s="217"/>
      <c r="G96" s="217"/>
      <c r="H96" s="217"/>
      <c r="I96" s="217"/>
      <c r="J96" s="217"/>
      <c r="K96" s="218"/>
      <c r="L96" s="83"/>
      <c r="M96" s="84" t="s">
        <v>43</v>
      </c>
      <c r="N96" s="85"/>
      <c r="O96" s="216" t="str">
        <f>IF(OR(L65="",N65=""),"PERDEDOR J89",IF(L65&lt;N65,D65,O65))</f>
        <v>FC Douglas Leal</v>
      </c>
      <c r="P96" s="217"/>
      <c r="Q96" s="217"/>
      <c r="R96" s="217"/>
      <c r="S96" s="217"/>
      <c r="T96" s="217"/>
      <c r="U96" s="217"/>
      <c r="V96" s="217"/>
      <c r="W96" s="218"/>
    </row>
    <row r="97" spans="3:23" ht="15.75" thickBot="1">
      <c r="C97" s="55"/>
      <c r="D97" s="55"/>
      <c r="E97" s="55"/>
      <c r="F97" s="55"/>
      <c r="G97" s="55"/>
      <c r="H97" s="55"/>
      <c r="I97" s="55"/>
      <c r="J97" s="55"/>
      <c r="K97" s="55"/>
      <c r="L97" s="59"/>
      <c r="M97" s="58"/>
      <c r="N97" s="57"/>
      <c r="O97" s="57"/>
      <c r="P97" s="57"/>
      <c r="Q97" s="57"/>
      <c r="R97" s="57"/>
      <c r="S97" s="57"/>
      <c r="T97" s="57"/>
      <c r="U97" s="57"/>
    </row>
    <row r="98" spans="3:23" ht="15" customHeight="1">
      <c r="C98" s="213" t="s">
        <v>63</v>
      </c>
      <c r="D98" s="214"/>
      <c r="E98" s="214"/>
      <c r="F98" s="214"/>
      <c r="G98" s="214"/>
      <c r="H98" s="214"/>
      <c r="I98" s="214"/>
      <c r="J98" s="214"/>
      <c r="K98" s="214"/>
      <c r="L98" s="214"/>
      <c r="M98" s="214"/>
      <c r="N98" s="214"/>
      <c r="O98" s="214"/>
      <c r="P98" s="214"/>
      <c r="Q98" s="214"/>
      <c r="R98" s="214"/>
      <c r="S98" s="214"/>
      <c r="T98" s="214"/>
      <c r="U98" s="214"/>
      <c r="V98" s="214"/>
      <c r="W98" s="215"/>
    </row>
    <row r="99" spans="3:23" ht="15" customHeight="1">
      <c r="C99" s="185"/>
      <c r="D99" s="186"/>
      <c r="E99" s="186"/>
      <c r="F99" s="186"/>
      <c r="G99" s="186"/>
      <c r="H99" s="186"/>
      <c r="I99" s="186"/>
      <c r="J99" s="186"/>
      <c r="K99" s="186"/>
      <c r="L99" s="186"/>
      <c r="M99" s="186"/>
      <c r="N99" s="186"/>
      <c r="O99" s="186"/>
      <c r="P99" s="186"/>
      <c r="Q99" s="186"/>
      <c r="R99" s="186"/>
      <c r="S99" s="186"/>
      <c r="T99" s="186"/>
      <c r="U99" s="186"/>
      <c r="V99" s="186"/>
      <c r="W99" s="194"/>
    </row>
    <row r="100" spans="3:23" ht="15.75" customHeight="1" thickBot="1">
      <c r="C100" s="188"/>
      <c r="D100" s="189"/>
      <c r="E100" s="189"/>
      <c r="F100" s="189"/>
      <c r="G100" s="189"/>
      <c r="H100" s="189"/>
      <c r="I100" s="189"/>
      <c r="J100" s="189"/>
      <c r="K100" s="189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96"/>
    </row>
    <row r="101" spans="3:23" ht="16.5" customHeight="1">
      <c r="C101" s="49"/>
      <c r="D101" s="50"/>
      <c r="E101" s="50"/>
      <c r="F101" s="50"/>
      <c r="G101" s="50"/>
      <c r="H101" s="50"/>
      <c r="I101" s="50"/>
      <c r="J101" s="220" t="s">
        <v>326</v>
      </c>
      <c r="K101" s="221"/>
      <c r="L101" s="221"/>
      <c r="M101" s="221"/>
      <c r="N101" s="221"/>
      <c r="O101" s="221"/>
      <c r="P101" s="221"/>
      <c r="Q101" s="222"/>
      <c r="R101" s="213"/>
      <c r="S101" s="214"/>
      <c r="T101" s="214"/>
      <c r="U101" s="214"/>
      <c r="V101" s="214"/>
      <c r="W101" s="215"/>
    </row>
    <row r="102" spans="3:23" ht="18.75" customHeight="1" thickBot="1">
      <c r="C102" s="49"/>
      <c r="D102" s="50"/>
      <c r="E102" s="50"/>
      <c r="F102" s="50"/>
      <c r="G102" s="50"/>
      <c r="H102" s="50"/>
      <c r="I102" s="50"/>
      <c r="J102" s="223"/>
      <c r="K102" s="224"/>
      <c r="L102" s="224"/>
      <c r="M102" s="224"/>
      <c r="N102" s="224"/>
      <c r="O102" s="224"/>
      <c r="P102" s="224"/>
      <c r="Q102" s="225"/>
      <c r="R102" s="188"/>
      <c r="S102" s="189"/>
      <c r="T102" s="189"/>
      <c r="U102" s="189"/>
      <c r="V102" s="189"/>
      <c r="W102" s="196"/>
    </row>
    <row r="103" spans="3:23" ht="29.25" thickBot="1">
      <c r="C103" s="86" t="s">
        <v>191</v>
      </c>
      <c r="D103" s="216" t="str">
        <f>IF(OR(L64="",N64=""),"VENCEDOR J89",IF(L64&gt;N64,D64,O64))</f>
        <v>Real Madrid football clube</v>
      </c>
      <c r="E103" s="217"/>
      <c r="F103" s="217"/>
      <c r="G103" s="217"/>
      <c r="H103" s="217"/>
      <c r="I103" s="217"/>
      <c r="J103" s="217"/>
      <c r="K103" s="218"/>
      <c r="L103" s="83"/>
      <c r="M103" s="84" t="s">
        <v>43</v>
      </c>
      <c r="N103" s="85"/>
      <c r="O103" s="216" t="str">
        <f>IF(OR(L65="",N65=""),"VENCEDOR J89",IF(L65&gt;N65,D65,O65))</f>
        <v>Black sheep f.c</v>
      </c>
      <c r="P103" s="217"/>
      <c r="Q103" s="217"/>
      <c r="R103" s="217"/>
      <c r="S103" s="217"/>
      <c r="T103" s="217"/>
      <c r="U103" s="217"/>
      <c r="V103" s="217"/>
      <c r="W103" s="218"/>
    </row>
    <row r="104" spans="3:23" ht="15.75" thickBot="1">
      <c r="C104" s="55"/>
      <c r="D104" s="55"/>
      <c r="E104" s="55"/>
      <c r="F104" s="55"/>
      <c r="G104" s="55"/>
      <c r="H104" s="55"/>
      <c r="I104" s="55"/>
      <c r="J104" s="55"/>
      <c r="K104" s="55"/>
      <c r="L104" s="59"/>
      <c r="M104" s="58"/>
      <c r="N104" s="57"/>
      <c r="O104" s="57"/>
      <c r="P104" s="57"/>
      <c r="Q104" s="57"/>
      <c r="R104" s="57"/>
      <c r="S104" s="57"/>
      <c r="T104" s="57"/>
      <c r="U104" s="57"/>
    </row>
    <row r="105" spans="3:23" ht="15" customHeight="1">
      <c r="C105" s="213" t="s">
        <v>76</v>
      </c>
      <c r="D105" s="214"/>
      <c r="E105" s="214"/>
      <c r="F105" s="214"/>
      <c r="G105" s="214"/>
      <c r="H105" s="214"/>
      <c r="I105" s="214"/>
      <c r="J105" s="214"/>
      <c r="K105" s="214"/>
      <c r="L105" s="214"/>
      <c r="M105" s="214"/>
      <c r="N105" s="214"/>
      <c r="O105" s="214"/>
      <c r="P105" s="214"/>
      <c r="Q105" s="214"/>
      <c r="R105" s="214"/>
      <c r="S105" s="214"/>
      <c r="T105" s="214"/>
      <c r="U105" s="214"/>
      <c r="V105" s="214"/>
      <c r="W105" s="215"/>
    </row>
    <row r="106" spans="3:23" ht="15" customHeight="1">
      <c r="C106" s="185"/>
      <c r="D106" s="186"/>
      <c r="E106" s="186"/>
      <c r="F106" s="186"/>
      <c r="G106" s="186"/>
      <c r="H106" s="186"/>
      <c r="I106" s="186"/>
      <c r="J106" s="186"/>
      <c r="K106" s="186"/>
      <c r="L106" s="186"/>
      <c r="M106" s="186"/>
      <c r="N106" s="186"/>
      <c r="O106" s="186"/>
      <c r="P106" s="186"/>
      <c r="Q106" s="186"/>
      <c r="R106" s="186"/>
      <c r="S106" s="186"/>
      <c r="T106" s="186"/>
      <c r="U106" s="186"/>
      <c r="V106" s="186"/>
      <c r="W106" s="194"/>
    </row>
    <row r="107" spans="3:23" ht="15.75" customHeight="1" thickBot="1">
      <c r="C107" s="188"/>
      <c r="D107" s="189"/>
      <c r="E107" s="189"/>
      <c r="F107" s="189"/>
      <c r="G107" s="189"/>
      <c r="H107" s="189"/>
      <c r="I107" s="189"/>
      <c r="J107" s="189"/>
      <c r="K107" s="189"/>
      <c r="L107" s="189"/>
      <c r="M107" s="189"/>
      <c r="N107" s="189"/>
      <c r="O107" s="189"/>
      <c r="P107" s="189"/>
      <c r="Q107" s="189"/>
      <c r="R107" s="189"/>
      <c r="S107" s="189"/>
      <c r="T107" s="189"/>
      <c r="U107" s="189"/>
      <c r="V107" s="189"/>
      <c r="W107" s="196"/>
    </row>
    <row r="108" spans="3:23" ht="17.25" customHeight="1">
      <c r="C108" s="49"/>
      <c r="D108" s="50"/>
      <c r="E108" s="50"/>
      <c r="F108" s="50"/>
      <c r="G108" s="50"/>
      <c r="H108" s="50"/>
      <c r="I108" s="50"/>
      <c r="J108" s="220" t="s">
        <v>326</v>
      </c>
      <c r="K108" s="221"/>
      <c r="L108" s="221"/>
      <c r="M108" s="221"/>
      <c r="N108" s="221"/>
      <c r="O108" s="221"/>
      <c r="P108" s="221"/>
      <c r="Q108" s="222"/>
      <c r="R108" s="213"/>
      <c r="S108" s="214"/>
      <c r="T108" s="214"/>
      <c r="U108" s="214"/>
      <c r="V108" s="214"/>
      <c r="W108" s="215"/>
    </row>
    <row r="109" spans="3:23" ht="15" customHeight="1" thickBot="1">
      <c r="C109" s="49"/>
      <c r="D109" s="50"/>
      <c r="E109" s="50"/>
      <c r="F109" s="50"/>
      <c r="G109" s="50"/>
      <c r="H109" s="50"/>
      <c r="I109" s="50"/>
      <c r="J109" s="223"/>
      <c r="K109" s="224"/>
      <c r="L109" s="224"/>
      <c r="M109" s="224"/>
      <c r="N109" s="224"/>
      <c r="O109" s="224"/>
      <c r="P109" s="224"/>
      <c r="Q109" s="225"/>
      <c r="R109" s="188"/>
      <c r="S109" s="189"/>
      <c r="T109" s="189"/>
      <c r="U109" s="189"/>
      <c r="V109" s="189"/>
      <c r="W109" s="196"/>
    </row>
    <row r="110" spans="3:23" ht="29.25" thickBot="1">
      <c r="C110" s="86" t="s">
        <v>192</v>
      </c>
      <c r="D110" s="216" t="str">
        <f>IF(OR(L72="",N72=""),"PERDEDOR J91",IF(L72&lt;N72,D72,O72))</f>
        <v>Raça Fl@ FC</v>
      </c>
      <c r="E110" s="217"/>
      <c r="F110" s="217"/>
      <c r="G110" s="217"/>
      <c r="H110" s="217"/>
      <c r="I110" s="217"/>
      <c r="J110" s="217"/>
      <c r="K110" s="218"/>
      <c r="L110" s="83"/>
      <c r="M110" s="84" t="s">
        <v>43</v>
      </c>
      <c r="N110" s="85"/>
      <c r="O110" s="216" t="str">
        <f>IF(OR(L73="",N73=""),"PERDEDOR J92",IF(L73&lt;N73,D73,O73))</f>
        <v>Nacyonal de Marabá</v>
      </c>
      <c r="P110" s="217"/>
      <c r="Q110" s="217"/>
      <c r="R110" s="217"/>
      <c r="S110" s="217"/>
      <c r="T110" s="217"/>
      <c r="U110" s="217"/>
      <c r="V110" s="217"/>
      <c r="W110" s="218"/>
    </row>
    <row r="111" spans="3:23" ht="15.75" thickBot="1">
      <c r="C111" s="55"/>
      <c r="D111" s="55"/>
      <c r="E111" s="55"/>
      <c r="F111" s="55"/>
      <c r="G111" s="55"/>
      <c r="H111" s="55"/>
      <c r="I111" s="55"/>
      <c r="J111" s="55"/>
      <c r="K111" s="55"/>
      <c r="L111" s="59"/>
      <c r="M111" s="58"/>
      <c r="N111" s="57"/>
      <c r="O111" s="57"/>
      <c r="P111" s="57"/>
      <c r="Q111" s="57"/>
      <c r="R111" s="57"/>
      <c r="S111" s="57"/>
      <c r="T111" s="57"/>
      <c r="U111" s="57"/>
    </row>
    <row r="112" spans="3:23" ht="15" customHeight="1">
      <c r="C112" s="213" t="s">
        <v>53</v>
      </c>
      <c r="D112" s="214"/>
      <c r="E112" s="214"/>
      <c r="F112" s="214"/>
      <c r="G112" s="214"/>
      <c r="H112" s="214"/>
      <c r="I112" s="214"/>
      <c r="J112" s="214"/>
      <c r="K112" s="214"/>
      <c r="L112" s="214"/>
      <c r="M112" s="214"/>
      <c r="N112" s="214"/>
      <c r="O112" s="214"/>
      <c r="P112" s="214"/>
      <c r="Q112" s="214"/>
      <c r="R112" s="214"/>
      <c r="S112" s="214"/>
      <c r="T112" s="214"/>
      <c r="U112" s="214"/>
      <c r="V112" s="214"/>
      <c r="W112" s="215"/>
    </row>
    <row r="113" spans="3:23" ht="15" customHeight="1">
      <c r="C113" s="185"/>
      <c r="D113" s="186"/>
      <c r="E113" s="186"/>
      <c r="F113" s="186"/>
      <c r="G113" s="186"/>
      <c r="H113" s="186"/>
      <c r="I113" s="186"/>
      <c r="J113" s="186"/>
      <c r="K113" s="186"/>
      <c r="L113" s="186"/>
      <c r="M113" s="186"/>
      <c r="N113" s="186"/>
      <c r="O113" s="186"/>
      <c r="P113" s="186"/>
      <c r="Q113" s="186"/>
      <c r="R113" s="186"/>
      <c r="S113" s="186"/>
      <c r="T113" s="186"/>
      <c r="U113" s="186"/>
      <c r="V113" s="186"/>
      <c r="W113" s="194"/>
    </row>
    <row r="114" spans="3:23" ht="15.75" customHeight="1" thickBot="1">
      <c r="C114" s="188"/>
      <c r="D114" s="189"/>
      <c r="E114" s="189"/>
      <c r="F114" s="189"/>
      <c r="G114" s="189"/>
      <c r="H114" s="189"/>
      <c r="I114" s="189"/>
      <c r="J114" s="189"/>
      <c r="K114" s="189"/>
      <c r="L114" s="189"/>
      <c r="M114" s="189"/>
      <c r="N114" s="189"/>
      <c r="O114" s="189"/>
      <c r="P114" s="189"/>
      <c r="Q114" s="189"/>
      <c r="R114" s="189"/>
      <c r="S114" s="189"/>
      <c r="T114" s="189"/>
      <c r="U114" s="189"/>
      <c r="V114" s="189"/>
      <c r="W114" s="196"/>
    </row>
    <row r="115" spans="3:23" ht="15.75" customHeight="1">
      <c r="C115" s="49"/>
      <c r="D115" s="50"/>
      <c r="E115" s="50"/>
      <c r="F115" s="50"/>
      <c r="G115" s="50"/>
      <c r="H115" s="50"/>
      <c r="I115" s="50"/>
      <c r="J115" s="220" t="s">
        <v>326</v>
      </c>
      <c r="K115" s="221"/>
      <c r="L115" s="221"/>
      <c r="M115" s="221"/>
      <c r="N115" s="221"/>
      <c r="O115" s="221"/>
      <c r="P115" s="221"/>
      <c r="Q115" s="222"/>
      <c r="R115" s="213"/>
      <c r="S115" s="214"/>
      <c r="T115" s="214"/>
      <c r="U115" s="214"/>
      <c r="V115" s="214"/>
      <c r="W115" s="215"/>
    </row>
    <row r="116" spans="3:23" ht="18" customHeight="1" thickBot="1">
      <c r="C116" s="49"/>
      <c r="D116" s="50"/>
      <c r="E116" s="50"/>
      <c r="F116" s="50"/>
      <c r="G116" s="50"/>
      <c r="H116" s="50"/>
      <c r="I116" s="50"/>
      <c r="J116" s="223"/>
      <c r="K116" s="224"/>
      <c r="L116" s="224"/>
      <c r="M116" s="224"/>
      <c r="N116" s="224"/>
      <c r="O116" s="224"/>
      <c r="P116" s="224"/>
      <c r="Q116" s="225"/>
      <c r="R116" s="188"/>
      <c r="S116" s="189"/>
      <c r="T116" s="189"/>
      <c r="U116" s="189"/>
      <c r="V116" s="189"/>
      <c r="W116" s="196"/>
    </row>
    <row r="117" spans="3:23" ht="29.25" thickBot="1">
      <c r="C117" s="86" t="s">
        <v>193</v>
      </c>
      <c r="D117" s="216" t="str">
        <f>IF(OR(L72="",N72=""),"VENCEDOR J91",IF(L72&gt;N72,D72,O72))</f>
        <v>ManchesterUrubu City</v>
      </c>
      <c r="E117" s="217"/>
      <c r="F117" s="217"/>
      <c r="G117" s="217"/>
      <c r="H117" s="217"/>
      <c r="I117" s="217"/>
      <c r="J117" s="217"/>
      <c r="K117" s="218"/>
      <c r="L117" s="83"/>
      <c r="M117" s="84" t="s">
        <v>43</v>
      </c>
      <c r="N117" s="85"/>
      <c r="O117" s="216" t="str">
        <f>IF(OR(L73="",N73=""),"VENCEDOR J92",IF(L73&gt;N73,D73,O73))</f>
        <v>Guiguizão fc</v>
      </c>
      <c r="P117" s="217"/>
      <c r="Q117" s="217"/>
      <c r="R117" s="217"/>
      <c r="S117" s="217"/>
      <c r="T117" s="217"/>
      <c r="U117" s="217"/>
      <c r="V117" s="217"/>
      <c r="W117" s="218"/>
    </row>
    <row r="118" spans="3:23" ht="15.75" thickBot="1">
      <c r="C118" s="55"/>
      <c r="D118" s="55"/>
      <c r="E118" s="55"/>
      <c r="F118" s="55"/>
      <c r="G118" s="55"/>
      <c r="H118" s="55"/>
      <c r="I118" s="55"/>
      <c r="J118" s="55"/>
      <c r="K118" s="55"/>
      <c r="L118" s="59"/>
      <c r="M118" s="58"/>
      <c r="N118" s="57"/>
      <c r="O118" s="57"/>
      <c r="P118" s="57"/>
      <c r="Q118" s="57"/>
      <c r="R118" s="57"/>
      <c r="S118" s="57"/>
      <c r="T118" s="57"/>
      <c r="U118" s="57"/>
    </row>
    <row r="119" spans="3:23" ht="15" customHeight="1">
      <c r="C119" s="213" t="s">
        <v>79</v>
      </c>
      <c r="D119" s="214"/>
      <c r="E119" s="214"/>
      <c r="F119" s="214"/>
      <c r="G119" s="214"/>
      <c r="H119" s="214"/>
      <c r="I119" s="214"/>
      <c r="J119" s="214"/>
      <c r="K119" s="214"/>
      <c r="L119" s="214"/>
      <c r="M119" s="214"/>
      <c r="N119" s="214"/>
      <c r="O119" s="214"/>
      <c r="P119" s="214"/>
      <c r="Q119" s="214"/>
      <c r="R119" s="214"/>
      <c r="S119" s="214"/>
      <c r="T119" s="214"/>
      <c r="U119" s="214"/>
      <c r="V119" s="214"/>
      <c r="W119" s="215"/>
    </row>
    <row r="120" spans="3:23" ht="15" customHeight="1">
      <c r="C120" s="185"/>
      <c r="D120" s="186"/>
      <c r="E120" s="186"/>
      <c r="F120" s="186"/>
      <c r="G120" s="186"/>
      <c r="H120" s="186"/>
      <c r="I120" s="186"/>
      <c r="J120" s="186"/>
      <c r="K120" s="186"/>
      <c r="L120" s="186"/>
      <c r="M120" s="186"/>
      <c r="N120" s="186"/>
      <c r="O120" s="186"/>
      <c r="P120" s="186"/>
      <c r="Q120" s="186"/>
      <c r="R120" s="186"/>
      <c r="S120" s="186"/>
      <c r="T120" s="186"/>
      <c r="U120" s="186"/>
      <c r="V120" s="186"/>
      <c r="W120" s="194"/>
    </row>
    <row r="121" spans="3:23" ht="15.75" customHeight="1" thickBot="1">
      <c r="C121" s="188"/>
      <c r="D121" s="189"/>
      <c r="E121" s="189"/>
      <c r="F121" s="189"/>
      <c r="G121" s="189"/>
      <c r="H121" s="189"/>
      <c r="I121" s="189"/>
      <c r="J121" s="189"/>
      <c r="K121" s="189"/>
      <c r="L121" s="189"/>
      <c r="M121" s="189"/>
      <c r="N121" s="189"/>
      <c r="O121" s="189"/>
      <c r="P121" s="189"/>
      <c r="Q121" s="189"/>
      <c r="R121" s="189"/>
      <c r="S121" s="189"/>
      <c r="T121" s="189"/>
      <c r="U121" s="189"/>
      <c r="V121" s="189"/>
      <c r="W121" s="196"/>
    </row>
    <row r="122" spans="3:23" ht="16.5" customHeight="1">
      <c r="C122" s="49"/>
      <c r="D122" s="50"/>
      <c r="E122" s="50"/>
      <c r="F122" s="50"/>
      <c r="G122" s="50"/>
      <c r="H122" s="50"/>
      <c r="I122" s="50"/>
      <c r="J122" s="220" t="s">
        <v>326</v>
      </c>
      <c r="K122" s="221"/>
      <c r="L122" s="221"/>
      <c r="M122" s="221"/>
      <c r="N122" s="221"/>
      <c r="O122" s="221"/>
      <c r="P122" s="221"/>
      <c r="Q122" s="222"/>
      <c r="R122" s="213"/>
      <c r="S122" s="214"/>
      <c r="T122" s="214"/>
      <c r="U122" s="214"/>
      <c r="V122" s="214"/>
      <c r="W122" s="215"/>
    </row>
    <row r="123" spans="3:23" ht="17.25" customHeight="1" thickBot="1">
      <c r="C123" s="49"/>
      <c r="D123" s="50"/>
      <c r="E123" s="50"/>
      <c r="F123" s="50"/>
      <c r="G123" s="50"/>
      <c r="H123" s="50"/>
      <c r="I123" s="50"/>
      <c r="J123" s="223"/>
      <c r="K123" s="224"/>
      <c r="L123" s="224"/>
      <c r="M123" s="224"/>
      <c r="N123" s="224"/>
      <c r="O123" s="224"/>
      <c r="P123" s="224"/>
      <c r="Q123" s="225"/>
      <c r="R123" s="188"/>
      <c r="S123" s="189"/>
      <c r="T123" s="189"/>
      <c r="U123" s="189"/>
      <c r="V123" s="189"/>
      <c r="W123" s="196"/>
    </row>
    <row r="124" spans="3:23" ht="29.25" thickBot="1">
      <c r="C124" s="86" t="s">
        <v>194</v>
      </c>
      <c r="D124" s="216" t="str">
        <f>IF(OR(L80="",N80=""),"PERDEDOR J93",IF(L80&lt;N80,D80,O80))</f>
        <v>Kappa Trentino</v>
      </c>
      <c r="E124" s="217"/>
      <c r="F124" s="217"/>
      <c r="G124" s="217"/>
      <c r="H124" s="217"/>
      <c r="I124" s="217"/>
      <c r="J124" s="217"/>
      <c r="K124" s="218"/>
      <c r="L124" s="83"/>
      <c r="M124" s="84" t="s">
        <v>43</v>
      </c>
      <c r="N124" s="85"/>
      <c r="O124" s="216" t="str">
        <f>IF(OR(L81="",N81=""),"PERDEDOR J94",IF(L81&lt;N81,D81,O81))</f>
        <v>The Snipers F.C.</v>
      </c>
      <c r="P124" s="217"/>
      <c r="Q124" s="217"/>
      <c r="R124" s="217"/>
      <c r="S124" s="217"/>
      <c r="T124" s="217"/>
      <c r="U124" s="217"/>
      <c r="V124" s="217"/>
      <c r="W124" s="218"/>
    </row>
    <row r="125" spans="3:23" ht="15.75" thickBot="1">
      <c r="C125" s="55"/>
      <c r="D125" s="55"/>
      <c r="E125" s="55"/>
      <c r="F125" s="55"/>
      <c r="G125" s="55"/>
      <c r="H125" s="55"/>
      <c r="I125" s="55"/>
      <c r="J125" s="55"/>
      <c r="K125" s="55"/>
      <c r="L125" s="59"/>
      <c r="M125" s="58"/>
      <c r="N125" s="57"/>
      <c r="O125" s="57"/>
      <c r="P125" s="57"/>
      <c r="Q125" s="57"/>
      <c r="R125" s="57"/>
      <c r="S125" s="57"/>
      <c r="T125" s="57"/>
      <c r="U125" s="57"/>
    </row>
    <row r="126" spans="3:23" ht="15" customHeight="1">
      <c r="C126" s="213" t="s">
        <v>68</v>
      </c>
      <c r="D126" s="214"/>
      <c r="E126" s="214"/>
      <c r="F126" s="214"/>
      <c r="G126" s="214"/>
      <c r="H126" s="214"/>
      <c r="I126" s="214"/>
      <c r="J126" s="214"/>
      <c r="K126" s="214"/>
      <c r="L126" s="214"/>
      <c r="M126" s="214"/>
      <c r="N126" s="214"/>
      <c r="O126" s="214"/>
      <c r="P126" s="214"/>
      <c r="Q126" s="214"/>
      <c r="R126" s="214"/>
      <c r="S126" s="214"/>
      <c r="T126" s="214"/>
      <c r="U126" s="214"/>
      <c r="V126" s="214"/>
      <c r="W126" s="215"/>
    </row>
    <row r="127" spans="3:23" ht="15" customHeight="1">
      <c r="C127" s="185"/>
      <c r="D127" s="186"/>
      <c r="E127" s="186"/>
      <c r="F127" s="186"/>
      <c r="G127" s="186"/>
      <c r="H127" s="186"/>
      <c r="I127" s="186"/>
      <c r="J127" s="186"/>
      <c r="K127" s="186"/>
      <c r="L127" s="186"/>
      <c r="M127" s="186"/>
      <c r="N127" s="186"/>
      <c r="O127" s="186"/>
      <c r="P127" s="186"/>
      <c r="Q127" s="186"/>
      <c r="R127" s="186"/>
      <c r="S127" s="186"/>
      <c r="T127" s="186"/>
      <c r="U127" s="186"/>
      <c r="V127" s="186"/>
      <c r="W127" s="194"/>
    </row>
    <row r="128" spans="3:23" ht="15.75" customHeight="1" thickBot="1">
      <c r="C128" s="188"/>
      <c r="D128" s="189"/>
      <c r="E128" s="189"/>
      <c r="F128" s="189"/>
      <c r="G128" s="189"/>
      <c r="H128" s="189"/>
      <c r="I128" s="189"/>
      <c r="J128" s="189"/>
      <c r="K128" s="189"/>
      <c r="L128" s="189"/>
      <c r="M128" s="189"/>
      <c r="N128" s="189"/>
      <c r="O128" s="189"/>
      <c r="P128" s="189"/>
      <c r="Q128" s="189"/>
      <c r="R128" s="189"/>
      <c r="S128" s="189"/>
      <c r="T128" s="189"/>
      <c r="U128" s="189"/>
      <c r="V128" s="189"/>
      <c r="W128" s="196"/>
    </row>
    <row r="129" spans="3:23" ht="15.75" customHeight="1">
      <c r="C129" s="49"/>
      <c r="D129" s="50"/>
      <c r="E129" s="50"/>
      <c r="F129" s="50"/>
      <c r="G129" s="50"/>
      <c r="H129" s="50"/>
      <c r="I129" s="50"/>
      <c r="J129" s="220" t="s">
        <v>326</v>
      </c>
      <c r="K129" s="221"/>
      <c r="L129" s="221"/>
      <c r="M129" s="221"/>
      <c r="N129" s="221"/>
      <c r="O129" s="221"/>
      <c r="P129" s="221"/>
      <c r="Q129" s="222"/>
      <c r="R129" s="213"/>
      <c r="S129" s="214"/>
      <c r="T129" s="214"/>
      <c r="U129" s="214"/>
      <c r="V129" s="214"/>
      <c r="W129" s="215"/>
    </row>
    <row r="130" spans="3:23" ht="17.25" customHeight="1" thickBot="1">
      <c r="C130" s="49"/>
      <c r="D130" s="50"/>
      <c r="E130" s="50"/>
      <c r="F130" s="50"/>
      <c r="G130" s="50"/>
      <c r="H130" s="50"/>
      <c r="I130" s="50"/>
      <c r="J130" s="223"/>
      <c r="K130" s="224"/>
      <c r="L130" s="224"/>
      <c r="M130" s="224"/>
      <c r="N130" s="224"/>
      <c r="O130" s="224"/>
      <c r="P130" s="224"/>
      <c r="Q130" s="225"/>
      <c r="R130" s="188"/>
      <c r="S130" s="189"/>
      <c r="T130" s="189"/>
      <c r="U130" s="189"/>
      <c r="V130" s="189"/>
      <c r="W130" s="196"/>
    </row>
    <row r="131" spans="3:23" ht="29.25" thickBot="1">
      <c r="C131" s="86" t="s">
        <v>195</v>
      </c>
      <c r="D131" s="216" t="str">
        <f>IF(OR(L80="",N80=""),"VENCEDOR J93",IF(L80&gt;N80,D80,O80))</f>
        <v>sucupir@ Dortmund</v>
      </c>
      <c r="E131" s="217"/>
      <c r="F131" s="217"/>
      <c r="G131" s="217"/>
      <c r="H131" s="217"/>
      <c r="I131" s="217"/>
      <c r="J131" s="217"/>
      <c r="K131" s="218"/>
      <c r="L131" s="83"/>
      <c r="M131" s="84" t="s">
        <v>43</v>
      </c>
      <c r="N131" s="85"/>
      <c r="O131" s="216" t="str">
        <f>IF(OR(L81="",N81=""),"VENCEDOR J94",IF(L81&gt;N81,D81,O81))</f>
        <v>Bafulinos SC</v>
      </c>
      <c r="P131" s="217"/>
      <c r="Q131" s="217"/>
      <c r="R131" s="217"/>
      <c r="S131" s="217"/>
      <c r="T131" s="217"/>
      <c r="U131" s="217"/>
      <c r="V131" s="217"/>
      <c r="W131" s="218"/>
    </row>
    <row r="132" spans="3:23" ht="15.75" thickBot="1">
      <c r="C132" s="55"/>
      <c r="D132" s="55"/>
      <c r="E132" s="55"/>
      <c r="F132" s="55"/>
      <c r="G132" s="55"/>
      <c r="H132" s="55"/>
      <c r="I132" s="55"/>
      <c r="J132" s="55"/>
      <c r="K132" s="55"/>
      <c r="L132" s="59"/>
      <c r="M132" s="58"/>
      <c r="N132" s="57"/>
      <c r="O132" s="57"/>
      <c r="P132" s="57"/>
      <c r="Q132" s="57"/>
      <c r="R132" s="57"/>
      <c r="S132" s="57"/>
      <c r="T132" s="57"/>
      <c r="U132" s="57"/>
    </row>
    <row r="133" spans="3:23" ht="15" customHeight="1">
      <c r="C133" s="213" t="s">
        <v>82</v>
      </c>
      <c r="D133" s="214"/>
      <c r="E133" s="214"/>
      <c r="F133" s="214"/>
      <c r="G133" s="214"/>
      <c r="H133" s="214"/>
      <c r="I133" s="214"/>
      <c r="J133" s="214"/>
      <c r="K133" s="214"/>
      <c r="L133" s="214"/>
      <c r="M133" s="214"/>
      <c r="N133" s="214"/>
      <c r="O133" s="214"/>
      <c r="P133" s="214"/>
      <c r="Q133" s="214"/>
      <c r="R133" s="214"/>
      <c r="S133" s="214"/>
      <c r="T133" s="214"/>
      <c r="U133" s="214"/>
      <c r="V133" s="214"/>
      <c r="W133" s="215"/>
    </row>
    <row r="134" spans="3:23" ht="15" customHeight="1">
      <c r="C134" s="185"/>
      <c r="D134" s="186"/>
      <c r="E134" s="186"/>
      <c r="F134" s="186"/>
      <c r="G134" s="186"/>
      <c r="H134" s="186"/>
      <c r="I134" s="186"/>
      <c r="J134" s="186"/>
      <c r="K134" s="186"/>
      <c r="L134" s="186"/>
      <c r="M134" s="186"/>
      <c r="N134" s="186"/>
      <c r="O134" s="186"/>
      <c r="P134" s="186"/>
      <c r="Q134" s="186"/>
      <c r="R134" s="186"/>
      <c r="S134" s="186"/>
      <c r="T134" s="186"/>
      <c r="U134" s="186"/>
      <c r="V134" s="186"/>
      <c r="W134" s="194"/>
    </row>
    <row r="135" spans="3:23" ht="15.75" customHeight="1" thickBot="1">
      <c r="C135" s="188"/>
      <c r="D135" s="189"/>
      <c r="E135" s="189"/>
      <c r="F135" s="189"/>
      <c r="G135" s="189"/>
      <c r="H135" s="189"/>
      <c r="I135" s="189"/>
      <c r="J135" s="189"/>
      <c r="K135" s="189"/>
      <c r="L135" s="189"/>
      <c r="M135" s="189"/>
      <c r="N135" s="189"/>
      <c r="O135" s="189"/>
      <c r="P135" s="189"/>
      <c r="Q135" s="189"/>
      <c r="R135" s="189"/>
      <c r="S135" s="189"/>
      <c r="T135" s="189"/>
      <c r="U135" s="189"/>
      <c r="V135" s="189"/>
      <c r="W135" s="196"/>
    </row>
    <row r="136" spans="3:23" ht="15" customHeight="1">
      <c r="C136" s="49"/>
      <c r="D136" s="50"/>
      <c r="E136" s="50"/>
      <c r="F136" s="50"/>
      <c r="G136" s="50"/>
      <c r="H136" s="50"/>
      <c r="I136" s="50"/>
      <c r="J136" s="220" t="s">
        <v>326</v>
      </c>
      <c r="K136" s="221"/>
      <c r="L136" s="221"/>
      <c r="M136" s="221"/>
      <c r="N136" s="221"/>
      <c r="O136" s="221"/>
      <c r="P136" s="221"/>
      <c r="Q136" s="222"/>
      <c r="R136" s="213"/>
      <c r="S136" s="214"/>
      <c r="T136" s="214"/>
      <c r="U136" s="214"/>
      <c r="V136" s="214"/>
      <c r="W136" s="215"/>
    </row>
    <row r="137" spans="3:23" ht="15.75" customHeight="1" thickBot="1">
      <c r="C137" s="49"/>
      <c r="D137" s="50"/>
      <c r="E137" s="50"/>
      <c r="F137" s="50"/>
      <c r="G137" s="50"/>
      <c r="H137" s="50"/>
      <c r="I137" s="50"/>
      <c r="J137" s="223"/>
      <c r="K137" s="224"/>
      <c r="L137" s="224"/>
      <c r="M137" s="224"/>
      <c r="N137" s="224"/>
      <c r="O137" s="224"/>
      <c r="P137" s="224"/>
      <c r="Q137" s="225"/>
      <c r="R137" s="188"/>
      <c r="S137" s="189"/>
      <c r="T137" s="189"/>
      <c r="U137" s="189"/>
      <c r="V137" s="189"/>
      <c r="W137" s="196"/>
    </row>
    <row r="138" spans="3:23" ht="29.25" thickBot="1">
      <c r="C138" s="86" t="s">
        <v>196</v>
      </c>
      <c r="D138" s="216" t="str">
        <f>IF(OR(L88="",N88=""),"PERDEDOR J95",IF(L88&lt;N88,D88,O88))</f>
        <v>Valquerato</v>
      </c>
      <c r="E138" s="217"/>
      <c r="F138" s="217"/>
      <c r="G138" s="217"/>
      <c r="H138" s="217"/>
      <c r="I138" s="217"/>
      <c r="J138" s="217"/>
      <c r="K138" s="218"/>
      <c r="L138" s="83"/>
      <c r="M138" s="84" t="s">
        <v>43</v>
      </c>
      <c r="N138" s="85"/>
      <c r="O138" s="216" t="str">
        <f>IF(OR(L89="",N89=""),"PERDEDOR J96",IF(L89&lt;N89,D89,O89))</f>
        <v>UBDC FC</v>
      </c>
      <c r="P138" s="217"/>
      <c r="Q138" s="217"/>
      <c r="R138" s="217"/>
      <c r="S138" s="217"/>
      <c r="T138" s="217"/>
      <c r="U138" s="217"/>
      <c r="V138" s="217"/>
      <c r="W138" s="218"/>
    </row>
    <row r="139" spans="3:23" ht="15.75" thickBot="1">
      <c r="C139" s="55"/>
      <c r="D139" s="55"/>
      <c r="E139" s="55"/>
      <c r="F139" s="55"/>
      <c r="G139" s="55"/>
      <c r="H139" s="55"/>
      <c r="I139" s="55"/>
      <c r="J139" s="55"/>
      <c r="K139" s="55"/>
      <c r="L139" s="59"/>
      <c r="M139" s="58"/>
      <c r="N139" s="57"/>
      <c r="O139" s="57"/>
      <c r="P139" s="57"/>
      <c r="Q139" s="57"/>
      <c r="R139" s="57"/>
      <c r="S139" s="57"/>
      <c r="T139" s="57"/>
      <c r="U139" s="57"/>
    </row>
    <row r="140" spans="3:23" ht="15" customHeight="1">
      <c r="C140" s="213" t="s">
        <v>84</v>
      </c>
      <c r="D140" s="214"/>
      <c r="E140" s="214"/>
      <c r="F140" s="214"/>
      <c r="G140" s="214"/>
      <c r="H140" s="214"/>
      <c r="I140" s="214"/>
      <c r="J140" s="214"/>
      <c r="K140" s="214"/>
      <c r="L140" s="214"/>
      <c r="M140" s="214"/>
      <c r="N140" s="214"/>
      <c r="O140" s="214"/>
      <c r="P140" s="214"/>
      <c r="Q140" s="214"/>
      <c r="R140" s="214"/>
      <c r="S140" s="214"/>
      <c r="T140" s="214"/>
      <c r="U140" s="214"/>
      <c r="V140" s="214"/>
      <c r="W140" s="215"/>
    </row>
    <row r="141" spans="3:23" ht="15" customHeight="1">
      <c r="C141" s="185"/>
      <c r="D141" s="186"/>
      <c r="E141" s="186"/>
      <c r="F141" s="186"/>
      <c r="G141" s="186"/>
      <c r="H141" s="186"/>
      <c r="I141" s="186"/>
      <c r="J141" s="186"/>
      <c r="K141" s="186"/>
      <c r="L141" s="186"/>
      <c r="M141" s="186"/>
      <c r="N141" s="186"/>
      <c r="O141" s="186"/>
      <c r="P141" s="186"/>
      <c r="Q141" s="186"/>
      <c r="R141" s="186"/>
      <c r="S141" s="186"/>
      <c r="T141" s="186"/>
      <c r="U141" s="186"/>
      <c r="V141" s="186"/>
      <c r="W141" s="194"/>
    </row>
    <row r="142" spans="3:23" ht="15.75" customHeight="1" thickBot="1">
      <c r="C142" s="188"/>
      <c r="D142" s="189"/>
      <c r="E142" s="189"/>
      <c r="F142" s="189"/>
      <c r="G142" s="189"/>
      <c r="H142" s="189"/>
      <c r="I142" s="189"/>
      <c r="J142" s="189"/>
      <c r="K142" s="189"/>
      <c r="L142" s="189"/>
      <c r="M142" s="189"/>
      <c r="N142" s="189"/>
      <c r="O142" s="189"/>
      <c r="P142" s="189"/>
      <c r="Q142" s="189"/>
      <c r="R142" s="189"/>
      <c r="S142" s="189"/>
      <c r="T142" s="189"/>
      <c r="U142" s="189"/>
      <c r="V142" s="189"/>
      <c r="W142" s="196"/>
    </row>
    <row r="143" spans="3:23" ht="16.5" customHeight="1">
      <c r="C143" s="49"/>
      <c r="D143" s="50"/>
      <c r="E143" s="50"/>
      <c r="F143" s="50"/>
      <c r="G143" s="50"/>
      <c r="H143" s="50"/>
      <c r="I143" s="50"/>
      <c r="J143" s="220" t="s">
        <v>326</v>
      </c>
      <c r="K143" s="221"/>
      <c r="L143" s="221"/>
      <c r="M143" s="221"/>
      <c r="N143" s="221"/>
      <c r="O143" s="221"/>
      <c r="P143" s="221"/>
      <c r="Q143" s="222"/>
      <c r="R143" s="213"/>
      <c r="S143" s="214"/>
      <c r="T143" s="214"/>
      <c r="U143" s="214"/>
      <c r="V143" s="214"/>
      <c r="W143" s="215"/>
    </row>
    <row r="144" spans="3:23" ht="18.75" customHeight="1" thickBot="1">
      <c r="C144" s="49"/>
      <c r="D144" s="50"/>
      <c r="E144" s="50"/>
      <c r="F144" s="50"/>
      <c r="G144" s="50"/>
      <c r="H144" s="50"/>
      <c r="I144" s="50"/>
      <c r="J144" s="223"/>
      <c r="K144" s="224"/>
      <c r="L144" s="224"/>
      <c r="M144" s="224"/>
      <c r="N144" s="224"/>
      <c r="O144" s="224"/>
      <c r="P144" s="224"/>
      <c r="Q144" s="225"/>
      <c r="R144" s="188"/>
      <c r="S144" s="189"/>
      <c r="T144" s="189"/>
      <c r="U144" s="189"/>
      <c r="V144" s="189"/>
      <c r="W144" s="196"/>
    </row>
    <row r="145" spans="3:32" ht="29.25" thickBot="1">
      <c r="C145" s="86" t="s">
        <v>197</v>
      </c>
      <c r="D145" s="216" t="str">
        <f>IF(OR(L88="",N88=""),"VENCEDOR J95",IF(L88&gt;N88,D88,O88))</f>
        <v>PANZA FC</v>
      </c>
      <c r="E145" s="217"/>
      <c r="F145" s="217"/>
      <c r="G145" s="217"/>
      <c r="H145" s="217"/>
      <c r="I145" s="217"/>
      <c r="J145" s="217"/>
      <c r="K145" s="218"/>
      <c r="L145" s="83"/>
      <c r="M145" s="84" t="s">
        <v>43</v>
      </c>
      <c r="N145" s="85"/>
      <c r="O145" s="216" t="str">
        <f>IF(OR(L89="",N89=""),"VENCEDOR J96",IF(L89&gt;N89,D89,O89))</f>
        <v>Galaticos  Alves FC</v>
      </c>
      <c r="P145" s="217"/>
      <c r="Q145" s="217"/>
      <c r="R145" s="217"/>
      <c r="S145" s="217"/>
      <c r="T145" s="217"/>
      <c r="U145" s="217"/>
      <c r="V145" s="217"/>
      <c r="W145" s="218"/>
    </row>
    <row r="146" spans="3:32" ht="15.75" thickBot="1">
      <c r="C146" s="55"/>
      <c r="D146" s="55"/>
      <c r="E146" s="55"/>
      <c r="F146" s="55"/>
      <c r="G146" s="55"/>
      <c r="H146" s="55"/>
      <c r="I146" s="55"/>
      <c r="J146" s="55"/>
      <c r="K146" s="55"/>
      <c r="L146" s="59"/>
      <c r="M146" s="58"/>
      <c r="N146" s="57"/>
      <c r="O146" s="57"/>
      <c r="P146" s="57"/>
      <c r="Q146" s="57"/>
      <c r="R146" s="57"/>
      <c r="S146" s="57"/>
      <c r="T146" s="57"/>
      <c r="U146" s="57"/>
    </row>
    <row r="147" spans="3:32" ht="15.75" customHeight="1">
      <c r="C147" s="233" t="str">
        <f>IF(OR(L145="",N145=""),"Campeão",IF(L145&gt;N145,D145,O145))</f>
        <v>Campeão</v>
      </c>
      <c r="D147" s="234"/>
      <c r="E147" s="234"/>
      <c r="F147" s="234"/>
      <c r="G147" s="234"/>
      <c r="H147" s="234"/>
      <c r="I147" s="234"/>
      <c r="J147" s="234"/>
      <c r="K147" s="234"/>
      <c r="L147" s="239" t="s">
        <v>143</v>
      </c>
      <c r="M147" s="240"/>
      <c r="N147" s="240"/>
      <c r="O147" s="240"/>
      <c r="P147" s="240"/>
      <c r="Q147" s="240"/>
      <c r="R147" s="240"/>
      <c r="S147" s="240"/>
      <c r="T147" s="240"/>
      <c r="U147" s="241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  <c r="AF147" s="87"/>
    </row>
    <row r="148" spans="3:32" ht="15.75" customHeight="1">
      <c r="C148" s="235"/>
      <c r="D148" s="236"/>
      <c r="E148" s="236"/>
      <c r="F148" s="236"/>
      <c r="G148" s="236"/>
      <c r="H148" s="236"/>
      <c r="I148" s="236"/>
      <c r="J148" s="236"/>
      <c r="K148" s="236"/>
      <c r="L148" s="242"/>
      <c r="M148" s="243"/>
      <c r="N148" s="243"/>
      <c r="O148" s="243"/>
      <c r="P148" s="243"/>
      <c r="Q148" s="243"/>
      <c r="R148" s="243"/>
      <c r="S148" s="243"/>
      <c r="T148" s="243"/>
      <c r="U148" s="244"/>
      <c r="V148" s="87"/>
      <c r="W148" s="87"/>
      <c r="X148" s="87"/>
      <c r="Y148" s="87"/>
      <c r="Z148" s="87"/>
      <c r="AA148" s="87"/>
      <c r="AB148" s="87"/>
      <c r="AC148" s="87"/>
      <c r="AD148" s="87"/>
      <c r="AE148" s="87"/>
      <c r="AF148" s="87"/>
    </row>
    <row r="149" spans="3:32" ht="15.75" customHeight="1">
      <c r="C149" s="235"/>
      <c r="D149" s="236"/>
      <c r="E149" s="236"/>
      <c r="F149" s="236"/>
      <c r="G149" s="236"/>
      <c r="H149" s="236"/>
      <c r="I149" s="236"/>
      <c r="J149" s="236"/>
      <c r="K149" s="236"/>
      <c r="L149" s="242"/>
      <c r="M149" s="243"/>
      <c r="N149" s="243"/>
      <c r="O149" s="243"/>
      <c r="P149" s="243"/>
      <c r="Q149" s="243"/>
      <c r="R149" s="243"/>
      <c r="S149" s="243"/>
      <c r="T149" s="243"/>
      <c r="U149" s="244"/>
      <c r="V149" s="87"/>
      <c r="W149" s="87"/>
      <c r="X149" s="87"/>
      <c r="Y149" s="87"/>
      <c r="Z149" s="87"/>
      <c r="AA149" s="87"/>
      <c r="AB149" s="87"/>
      <c r="AC149" s="87"/>
      <c r="AD149" s="87"/>
      <c r="AE149" s="87"/>
      <c r="AF149" s="87"/>
    </row>
    <row r="150" spans="3:32" ht="15.75" customHeight="1">
      <c r="C150" s="235"/>
      <c r="D150" s="236"/>
      <c r="E150" s="236"/>
      <c r="F150" s="236"/>
      <c r="G150" s="236"/>
      <c r="H150" s="236"/>
      <c r="I150" s="236"/>
      <c r="J150" s="236"/>
      <c r="K150" s="236"/>
      <c r="L150" s="242"/>
      <c r="M150" s="243"/>
      <c r="N150" s="243"/>
      <c r="O150" s="243"/>
      <c r="P150" s="243"/>
      <c r="Q150" s="243"/>
      <c r="R150" s="243"/>
      <c r="S150" s="243"/>
      <c r="T150" s="243"/>
      <c r="U150" s="244"/>
      <c r="V150" s="87"/>
      <c r="W150" s="87"/>
      <c r="X150" s="87"/>
      <c r="Y150" s="87"/>
      <c r="Z150" s="87"/>
      <c r="AA150" s="87"/>
      <c r="AB150" s="87"/>
      <c r="AC150" s="87"/>
      <c r="AD150" s="87"/>
      <c r="AE150" s="87"/>
      <c r="AF150" s="87"/>
    </row>
    <row r="151" spans="3:32" ht="15.75" customHeight="1">
      <c r="C151" s="235"/>
      <c r="D151" s="236"/>
      <c r="E151" s="236"/>
      <c r="F151" s="236"/>
      <c r="G151" s="236"/>
      <c r="H151" s="236"/>
      <c r="I151" s="236"/>
      <c r="J151" s="236"/>
      <c r="K151" s="236"/>
      <c r="L151" s="242"/>
      <c r="M151" s="243"/>
      <c r="N151" s="243"/>
      <c r="O151" s="243"/>
      <c r="P151" s="243"/>
      <c r="Q151" s="243"/>
      <c r="R151" s="243"/>
      <c r="S151" s="243"/>
      <c r="T151" s="243"/>
      <c r="U151" s="244"/>
      <c r="V151" s="87"/>
      <c r="W151" s="87"/>
      <c r="X151" s="87"/>
      <c r="Y151" s="87"/>
      <c r="Z151" s="87"/>
      <c r="AA151" s="87"/>
      <c r="AB151" s="87"/>
      <c r="AC151" s="87"/>
      <c r="AD151" s="87"/>
      <c r="AE151" s="87"/>
      <c r="AF151" s="87"/>
    </row>
    <row r="152" spans="3:32" ht="15.75" customHeight="1">
      <c r="C152" s="235"/>
      <c r="D152" s="236"/>
      <c r="E152" s="236"/>
      <c r="F152" s="236"/>
      <c r="G152" s="236"/>
      <c r="H152" s="236"/>
      <c r="I152" s="236"/>
      <c r="J152" s="236"/>
      <c r="K152" s="236"/>
      <c r="L152" s="242"/>
      <c r="M152" s="243"/>
      <c r="N152" s="243"/>
      <c r="O152" s="243"/>
      <c r="P152" s="243"/>
      <c r="Q152" s="243"/>
      <c r="R152" s="243"/>
      <c r="S152" s="243"/>
      <c r="T152" s="243"/>
      <c r="U152" s="244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  <c r="AF152" s="87"/>
    </row>
    <row r="153" spans="3:32" ht="15.75" customHeight="1">
      <c r="C153" s="235"/>
      <c r="D153" s="236"/>
      <c r="E153" s="236"/>
      <c r="F153" s="236"/>
      <c r="G153" s="236"/>
      <c r="H153" s="236"/>
      <c r="I153" s="236"/>
      <c r="J153" s="236"/>
      <c r="K153" s="236"/>
      <c r="L153" s="242"/>
      <c r="M153" s="243"/>
      <c r="N153" s="243"/>
      <c r="O153" s="243"/>
      <c r="P153" s="243"/>
      <c r="Q153" s="243"/>
      <c r="R153" s="243"/>
      <c r="S153" s="243"/>
      <c r="T153" s="243"/>
      <c r="U153" s="244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  <c r="AF153" s="87"/>
    </row>
    <row r="154" spans="3:32" ht="15.75" customHeight="1">
      <c r="C154" s="235"/>
      <c r="D154" s="236"/>
      <c r="E154" s="236"/>
      <c r="F154" s="236"/>
      <c r="G154" s="236"/>
      <c r="H154" s="236"/>
      <c r="I154" s="236"/>
      <c r="J154" s="236"/>
      <c r="K154" s="236"/>
      <c r="L154" s="242"/>
      <c r="M154" s="243"/>
      <c r="N154" s="243"/>
      <c r="O154" s="243"/>
      <c r="P154" s="243"/>
      <c r="Q154" s="243"/>
      <c r="R154" s="243"/>
      <c r="S154" s="243"/>
      <c r="T154" s="243"/>
      <c r="U154" s="244"/>
      <c r="V154" s="87"/>
      <c r="W154" s="87"/>
      <c r="X154" s="87"/>
      <c r="Y154" s="87"/>
      <c r="Z154" s="87"/>
      <c r="AA154" s="87"/>
      <c r="AB154" s="87"/>
      <c r="AC154" s="87"/>
      <c r="AD154" s="87"/>
      <c r="AE154" s="87"/>
      <c r="AF154" s="87"/>
    </row>
    <row r="155" spans="3:32" ht="15.75" customHeight="1">
      <c r="C155" s="235"/>
      <c r="D155" s="236"/>
      <c r="E155" s="236"/>
      <c r="F155" s="236"/>
      <c r="G155" s="236"/>
      <c r="H155" s="236"/>
      <c r="I155" s="236"/>
      <c r="J155" s="236"/>
      <c r="K155" s="236"/>
      <c r="L155" s="242"/>
      <c r="M155" s="243"/>
      <c r="N155" s="243"/>
      <c r="O155" s="243"/>
      <c r="P155" s="243"/>
      <c r="Q155" s="243"/>
      <c r="R155" s="243"/>
      <c r="S155" s="243"/>
      <c r="T155" s="243"/>
      <c r="U155" s="244"/>
      <c r="V155" s="87"/>
      <c r="W155" s="87"/>
      <c r="X155" s="87"/>
      <c r="Y155" s="87"/>
      <c r="Z155" s="87"/>
      <c r="AA155" s="87"/>
      <c r="AB155" s="87"/>
      <c r="AC155" s="87"/>
      <c r="AD155" s="87"/>
      <c r="AE155" s="87"/>
      <c r="AF155" s="87"/>
    </row>
    <row r="156" spans="3:32" ht="15.75" customHeight="1" thickBot="1">
      <c r="C156" s="237"/>
      <c r="D156" s="238"/>
      <c r="E156" s="238"/>
      <c r="F156" s="238"/>
      <c r="G156" s="238"/>
      <c r="H156" s="238"/>
      <c r="I156" s="238"/>
      <c r="J156" s="238"/>
      <c r="K156" s="238"/>
      <c r="L156" s="245"/>
      <c r="M156" s="246"/>
      <c r="N156" s="246"/>
      <c r="O156" s="246"/>
      <c r="P156" s="246"/>
      <c r="Q156" s="246"/>
      <c r="R156" s="246"/>
      <c r="S156" s="246"/>
      <c r="T156" s="246"/>
      <c r="U156" s="247"/>
      <c r="V156" s="87"/>
      <c r="W156" s="87"/>
      <c r="X156" s="87"/>
      <c r="Y156" s="87"/>
      <c r="Z156" s="87"/>
      <c r="AA156" s="87"/>
      <c r="AB156" s="87"/>
      <c r="AC156" s="87"/>
      <c r="AD156" s="87"/>
      <c r="AE156" s="87"/>
      <c r="AF156" s="87"/>
    </row>
    <row r="157" spans="3:32" ht="15.75" customHeight="1" thickBot="1">
      <c r="C157" s="69"/>
      <c r="D157" s="69"/>
      <c r="E157" s="69"/>
      <c r="F157" s="69"/>
      <c r="G157" s="69"/>
      <c r="H157" s="69"/>
      <c r="I157" s="69"/>
      <c r="J157" s="6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</row>
    <row r="158" spans="3:32" ht="15.75" customHeight="1">
      <c r="C158" s="233" t="str">
        <f>IF(OR(L145="",N145=""),"VICE Campeão",IF(L145&lt;N145,D145,O145))</f>
        <v>VICE Campeão</v>
      </c>
      <c r="D158" s="234"/>
      <c r="E158" s="234"/>
      <c r="F158" s="234"/>
      <c r="G158" s="234"/>
      <c r="H158" s="234"/>
      <c r="I158" s="234"/>
      <c r="J158" s="234"/>
      <c r="K158" s="234"/>
      <c r="L158" s="239" t="s">
        <v>154</v>
      </c>
      <c r="M158" s="240"/>
      <c r="N158" s="240"/>
      <c r="O158" s="240"/>
      <c r="P158" s="240"/>
      <c r="Q158" s="240"/>
      <c r="R158" s="240"/>
      <c r="S158" s="240"/>
      <c r="T158" s="240"/>
      <c r="U158" s="241"/>
      <c r="V158" s="87"/>
      <c r="W158" s="87"/>
      <c r="X158" s="87"/>
      <c r="Y158" s="87"/>
      <c r="Z158" s="87"/>
      <c r="AA158" s="87"/>
      <c r="AB158" s="87"/>
      <c r="AC158" s="87"/>
      <c r="AD158" s="87"/>
      <c r="AE158" s="87"/>
      <c r="AF158" s="87"/>
    </row>
    <row r="159" spans="3:32" ht="15.75" customHeight="1">
      <c r="C159" s="235"/>
      <c r="D159" s="236"/>
      <c r="E159" s="236"/>
      <c r="F159" s="236"/>
      <c r="G159" s="236"/>
      <c r="H159" s="236"/>
      <c r="I159" s="236"/>
      <c r="J159" s="236"/>
      <c r="K159" s="236"/>
      <c r="L159" s="242"/>
      <c r="M159" s="243"/>
      <c r="N159" s="243"/>
      <c r="O159" s="243"/>
      <c r="P159" s="243"/>
      <c r="Q159" s="243"/>
      <c r="R159" s="243"/>
      <c r="S159" s="243"/>
      <c r="T159" s="243"/>
      <c r="U159" s="244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  <c r="AF159" s="87"/>
    </row>
    <row r="160" spans="3:32" ht="15.75" customHeight="1">
      <c r="C160" s="235"/>
      <c r="D160" s="236"/>
      <c r="E160" s="236"/>
      <c r="F160" s="236"/>
      <c r="G160" s="236"/>
      <c r="H160" s="236"/>
      <c r="I160" s="236"/>
      <c r="J160" s="236"/>
      <c r="K160" s="236"/>
      <c r="L160" s="242"/>
      <c r="M160" s="243"/>
      <c r="N160" s="243"/>
      <c r="O160" s="243"/>
      <c r="P160" s="243"/>
      <c r="Q160" s="243"/>
      <c r="R160" s="243"/>
      <c r="S160" s="243"/>
      <c r="T160" s="243"/>
      <c r="U160" s="244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  <c r="AF160" s="87"/>
    </row>
    <row r="161" spans="3:32" ht="15.75" customHeight="1">
      <c r="C161" s="235"/>
      <c r="D161" s="236"/>
      <c r="E161" s="236"/>
      <c r="F161" s="236"/>
      <c r="G161" s="236"/>
      <c r="H161" s="236"/>
      <c r="I161" s="236"/>
      <c r="J161" s="236"/>
      <c r="K161" s="236"/>
      <c r="L161" s="242"/>
      <c r="M161" s="243"/>
      <c r="N161" s="243"/>
      <c r="O161" s="243"/>
      <c r="P161" s="243"/>
      <c r="Q161" s="243"/>
      <c r="R161" s="243"/>
      <c r="S161" s="243"/>
      <c r="T161" s="243"/>
      <c r="U161" s="244"/>
      <c r="V161" s="87"/>
      <c r="W161" s="87"/>
      <c r="X161" s="87"/>
      <c r="Y161" s="87"/>
      <c r="Z161" s="87"/>
      <c r="AA161" s="87"/>
      <c r="AB161" s="87"/>
      <c r="AC161" s="87"/>
      <c r="AD161" s="87"/>
      <c r="AE161" s="87"/>
      <c r="AF161" s="87"/>
    </row>
    <row r="162" spans="3:32" ht="15.75" customHeight="1">
      <c r="C162" s="235"/>
      <c r="D162" s="236"/>
      <c r="E162" s="236"/>
      <c r="F162" s="236"/>
      <c r="G162" s="236"/>
      <c r="H162" s="236"/>
      <c r="I162" s="236"/>
      <c r="J162" s="236"/>
      <c r="K162" s="236"/>
      <c r="L162" s="242"/>
      <c r="M162" s="243"/>
      <c r="N162" s="243"/>
      <c r="O162" s="243"/>
      <c r="P162" s="243"/>
      <c r="Q162" s="243"/>
      <c r="R162" s="243"/>
      <c r="S162" s="243"/>
      <c r="T162" s="243"/>
      <c r="U162" s="244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  <c r="AF162" s="87"/>
    </row>
    <row r="163" spans="3:32" ht="15.75" customHeight="1">
      <c r="C163" s="235"/>
      <c r="D163" s="236"/>
      <c r="E163" s="236"/>
      <c r="F163" s="236"/>
      <c r="G163" s="236"/>
      <c r="H163" s="236"/>
      <c r="I163" s="236"/>
      <c r="J163" s="236"/>
      <c r="K163" s="236"/>
      <c r="L163" s="242"/>
      <c r="M163" s="243"/>
      <c r="N163" s="243"/>
      <c r="O163" s="243"/>
      <c r="P163" s="243"/>
      <c r="Q163" s="243"/>
      <c r="R163" s="243"/>
      <c r="S163" s="243"/>
      <c r="T163" s="243"/>
      <c r="U163" s="244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  <c r="AF163" s="87"/>
    </row>
    <row r="164" spans="3:32" ht="15.75" customHeight="1">
      <c r="C164" s="235"/>
      <c r="D164" s="236"/>
      <c r="E164" s="236"/>
      <c r="F164" s="236"/>
      <c r="G164" s="236"/>
      <c r="H164" s="236"/>
      <c r="I164" s="236"/>
      <c r="J164" s="236"/>
      <c r="K164" s="236"/>
      <c r="L164" s="242"/>
      <c r="M164" s="243"/>
      <c r="N164" s="243"/>
      <c r="O164" s="243"/>
      <c r="P164" s="243"/>
      <c r="Q164" s="243"/>
      <c r="R164" s="243"/>
      <c r="S164" s="243"/>
      <c r="T164" s="243"/>
      <c r="U164" s="244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  <c r="AF164" s="87"/>
    </row>
    <row r="165" spans="3:32" ht="15.75" customHeight="1">
      <c r="C165" s="235"/>
      <c r="D165" s="236"/>
      <c r="E165" s="236"/>
      <c r="F165" s="236"/>
      <c r="G165" s="236"/>
      <c r="H165" s="236"/>
      <c r="I165" s="236"/>
      <c r="J165" s="236"/>
      <c r="K165" s="236"/>
      <c r="L165" s="242"/>
      <c r="M165" s="243"/>
      <c r="N165" s="243"/>
      <c r="O165" s="243"/>
      <c r="P165" s="243"/>
      <c r="Q165" s="243"/>
      <c r="R165" s="243"/>
      <c r="S165" s="243"/>
      <c r="T165" s="243"/>
      <c r="U165" s="244"/>
      <c r="V165" s="87"/>
      <c r="W165" s="87"/>
      <c r="X165" s="87"/>
      <c r="Y165" s="87"/>
      <c r="Z165" s="87"/>
      <c r="AA165" s="87"/>
      <c r="AB165" s="87"/>
      <c r="AC165" s="87"/>
      <c r="AD165" s="87"/>
      <c r="AE165" s="87"/>
      <c r="AF165" s="87"/>
    </row>
    <row r="166" spans="3:32" ht="15.75" customHeight="1">
      <c r="C166" s="235"/>
      <c r="D166" s="236"/>
      <c r="E166" s="236"/>
      <c r="F166" s="236"/>
      <c r="G166" s="236"/>
      <c r="H166" s="236"/>
      <c r="I166" s="236"/>
      <c r="J166" s="236"/>
      <c r="K166" s="236"/>
      <c r="L166" s="242"/>
      <c r="M166" s="243"/>
      <c r="N166" s="243"/>
      <c r="O166" s="243"/>
      <c r="P166" s="243"/>
      <c r="Q166" s="243"/>
      <c r="R166" s="243"/>
      <c r="S166" s="243"/>
      <c r="T166" s="243"/>
      <c r="U166" s="244"/>
      <c r="V166" s="87"/>
      <c r="W166" s="87"/>
      <c r="X166" s="87"/>
      <c r="Y166" s="87"/>
      <c r="Z166" s="87"/>
      <c r="AA166" s="87"/>
      <c r="AB166" s="87"/>
      <c r="AC166" s="87"/>
      <c r="AD166" s="87"/>
      <c r="AE166" s="87"/>
      <c r="AF166" s="87"/>
    </row>
    <row r="167" spans="3:32" ht="15.75" customHeight="1" thickBot="1">
      <c r="C167" s="237"/>
      <c r="D167" s="238"/>
      <c r="E167" s="238"/>
      <c r="F167" s="238"/>
      <c r="G167" s="238"/>
      <c r="H167" s="238"/>
      <c r="I167" s="238"/>
      <c r="J167" s="238"/>
      <c r="K167" s="238"/>
      <c r="L167" s="245"/>
      <c r="M167" s="246"/>
      <c r="N167" s="246"/>
      <c r="O167" s="246"/>
      <c r="P167" s="246"/>
      <c r="Q167" s="246"/>
      <c r="R167" s="246"/>
      <c r="S167" s="246"/>
      <c r="T167" s="246"/>
      <c r="U167" s="24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  <c r="AF167" s="87"/>
    </row>
    <row r="168" spans="3:32" ht="15.75" customHeight="1" thickBot="1">
      <c r="C168" s="69"/>
      <c r="D168" s="69"/>
      <c r="E168" s="69"/>
      <c r="F168" s="69"/>
      <c r="G168" s="69"/>
      <c r="H168" s="69"/>
      <c r="I168" s="69"/>
      <c r="J168" s="6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</row>
    <row r="169" spans="3:32" ht="15.75" customHeight="1">
      <c r="C169" s="233" t="str">
        <f>IF(OR(L138="",N138=""),"3º Lugar",IF(L138&gt;N138,D138,O138))</f>
        <v>3º Lugar</v>
      </c>
      <c r="D169" s="234"/>
      <c r="E169" s="234"/>
      <c r="F169" s="234"/>
      <c r="G169" s="234"/>
      <c r="H169" s="234"/>
      <c r="I169" s="234"/>
      <c r="J169" s="234"/>
      <c r="K169" s="234"/>
      <c r="L169" s="239" t="s">
        <v>144</v>
      </c>
      <c r="M169" s="240"/>
      <c r="N169" s="240"/>
      <c r="O169" s="240"/>
      <c r="P169" s="240"/>
      <c r="Q169" s="240"/>
      <c r="R169" s="240"/>
      <c r="S169" s="240"/>
      <c r="T169" s="240"/>
      <c r="U169" s="241"/>
      <c r="V169" s="87"/>
      <c r="W169" s="87"/>
      <c r="X169" s="87"/>
      <c r="Y169" s="87"/>
      <c r="Z169" s="87"/>
      <c r="AA169" s="87"/>
      <c r="AB169" s="87"/>
      <c r="AC169" s="87"/>
      <c r="AD169" s="87"/>
      <c r="AE169" s="87"/>
      <c r="AF169" s="87"/>
    </row>
    <row r="170" spans="3:32" ht="15.75" customHeight="1">
      <c r="C170" s="235"/>
      <c r="D170" s="236"/>
      <c r="E170" s="236"/>
      <c r="F170" s="236"/>
      <c r="G170" s="236"/>
      <c r="H170" s="236"/>
      <c r="I170" s="236"/>
      <c r="J170" s="236"/>
      <c r="K170" s="236"/>
      <c r="L170" s="242"/>
      <c r="M170" s="243"/>
      <c r="N170" s="243"/>
      <c r="O170" s="243"/>
      <c r="P170" s="243"/>
      <c r="Q170" s="243"/>
      <c r="R170" s="243"/>
      <c r="S170" s="243"/>
      <c r="T170" s="243"/>
      <c r="U170" s="244"/>
      <c r="V170" s="87"/>
      <c r="W170" s="87"/>
      <c r="X170" s="87"/>
      <c r="Y170" s="87"/>
      <c r="Z170" s="87"/>
      <c r="AA170" s="87"/>
      <c r="AB170" s="87"/>
      <c r="AC170" s="87"/>
      <c r="AD170" s="87"/>
      <c r="AE170" s="87"/>
      <c r="AF170" s="87"/>
    </row>
    <row r="171" spans="3:32" ht="15.75" customHeight="1">
      <c r="C171" s="235"/>
      <c r="D171" s="236"/>
      <c r="E171" s="236"/>
      <c r="F171" s="236"/>
      <c r="G171" s="236"/>
      <c r="H171" s="236"/>
      <c r="I171" s="236"/>
      <c r="J171" s="236"/>
      <c r="K171" s="236"/>
      <c r="L171" s="242"/>
      <c r="M171" s="243"/>
      <c r="N171" s="243"/>
      <c r="O171" s="243"/>
      <c r="P171" s="243"/>
      <c r="Q171" s="243"/>
      <c r="R171" s="243"/>
      <c r="S171" s="243"/>
      <c r="T171" s="243"/>
      <c r="U171" s="244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</row>
    <row r="172" spans="3:32" ht="15.75" customHeight="1">
      <c r="C172" s="235"/>
      <c r="D172" s="236"/>
      <c r="E172" s="236"/>
      <c r="F172" s="236"/>
      <c r="G172" s="236"/>
      <c r="H172" s="236"/>
      <c r="I172" s="236"/>
      <c r="J172" s="236"/>
      <c r="K172" s="236"/>
      <c r="L172" s="242"/>
      <c r="M172" s="243"/>
      <c r="N172" s="243"/>
      <c r="O172" s="243"/>
      <c r="P172" s="243"/>
      <c r="Q172" s="243"/>
      <c r="R172" s="243"/>
      <c r="S172" s="243"/>
      <c r="T172" s="243"/>
      <c r="U172" s="244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  <c r="AF172" s="87"/>
    </row>
    <row r="173" spans="3:32" ht="15.75" customHeight="1">
      <c r="C173" s="235"/>
      <c r="D173" s="236"/>
      <c r="E173" s="236"/>
      <c r="F173" s="236"/>
      <c r="G173" s="236"/>
      <c r="H173" s="236"/>
      <c r="I173" s="236"/>
      <c r="J173" s="236"/>
      <c r="K173" s="236"/>
      <c r="L173" s="242"/>
      <c r="M173" s="243"/>
      <c r="N173" s="243"/>
      <c r="O173" s="243"/>
      <c r="P173" s="243"/>
      <c r="Q173" s="243"/>
      <c r="R173" s="243"/>
      <c r="S173" s="243"/>
      <c r="T173" s="243"/>
      <c r="U173" s="244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  <c r="AF173" s="87"/>
    </row>
    <row r="174" spans="3:32" ht="15.75" customHeight="1">
      <c r="C174" s="235"/>
      <c r="D174" s="236"/>
      <c r="E174" s="236"/>
      <c r="F174" s="236"/>
      <c r="G174" s="236"/>
      <c r="H174" s="236"/>
      <c r="I174" s="236"/>
      <c r="J174" s="236"/>
      <c r="K174" s="236"/>
      <c r="L174" s="242"/>
      <c r="M174" s="243"/>
      <c r="N174" s="243"/>
      <c r="O174" s="243"/>
      <c r="P174" s="243"/>
      <c r="Q174" s="243"/>
      <c r="R174" s="243"/>
      <c r="S174" s="243"/>
      <c r="T174" s="243"/>
      <c r="U174" s="244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</row>
    <row r="175" spans="3:32" ht="15.75" customHeight="1">
      <c r="C175" s="235"/>
      <c r="D175" s="236"/>
      <c r="E175" s="236"/>
      <c r="F175" s="236"/>
      <c r="G175" s="236"/>
      <c r="H175" s="236"/>
      <c r="I175" s="236"/>
      <c r="J175" s="236"/>
      <c r="K175" s="236"/>
      <c r="L175" s="242"/>
      <c r="M175" s="243"/>
      <c r="N175" s="243"/>
      <c r="O175" s="243"/>
      <c r="P175" s="243"/>
      <c r="Q175" s="243"/>
      <c r="R175" s="243"/>
      <c r="S175" s="243"/>
      <c r="T175" s="243"/>
      <c r="U175" s="244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</row>
    <row r="176" spans="3:32" ht="15.75" customHeight="1">
      <c r="C176" s="235"/>
      <c r="D176" s="236"/>
      <c r="E176" s="236"/>
      <c r="F176" s="236"/>
      <c r="G176" s="236"/>
      <c r="H176" s="236"/>
      <c r="I176" s="236"/>
      <c r="J176" s="236"/>
      <c r="K176" s="236"/>
      <c r="L176" s="242"/>
      <c r="M176" s="243"/>
      <c r="N176" s="243"/>
      <c r="O176" s="243"/>
      <c r="P176" s="243"/>
      <c r="Q176" s="243"/>
      <c r="R176" s="243"/>
      <c r="S176" s="243"/>
      <c r="T176" s="243"/>
      <c r="U176" s="244"/>
      <c r="V176" s="87"/>
      <c r="W176" s="87"/>
      <c r="X176" s="87"/>
      <c r="Y176" s="87"/>
      <c r="Z176" s="87"/>
      <c r="AA176" s="87"/>
      <c r="AB176" s="87"/>
      <c r="AC176" s="87"/>
      <c r="AD176" s="87"/>
      <c r="AE176" s="87"/>
      <c r="AF176" s="87"/>
    </row>
    <row r="177" spans="3:32" ht="15.75" customHeight="1">
      <c r="C177" s="235"/>
      <c r="D177" s="236"/>
      <c r="E177" s="236"/>
      <c r="F177" s="236"/>
      <c r="G177" s="236"/>
      <c r="H177" s="236"/>
      <c r="I177" s="236"/>
      <c r="J177" s="236"/>
      <c r="K177" s="236"/>
      <c r="L177" s="242"/>
      <c r="M177" s="243"/>
      <c r="N177" s="243"/>
      <c r="O177" s="243"/>
      <c r="P177" s="243"/>
      <c r="Q177" s="243"/>
      <c r="R177" s="243"/>
      <c r="S177" s="243"/>
      <c r="T177" s="243"/>
      <c r="U177" s="244"/>
      <c r="V177" s="87"/>
      <c r="W177" s="87"/>
      <c r="X177" s="87"/>
      <c r="Y177" s="87"/>
      <c r="Z177" s="87"/>
      <c r="AA177" s="87"/>
      <c r="AB177" s="87"/>
      <c r="AC177" s="87"/>
      <c r="AD177" s="87"/>
      <c r="AE177" s="87"/>
      <c r="AF177" s="87"/>
    </row>
    <row r="178" spans="3:32" ht="15.75" customHeight="1" thickBot="1">
      <c r="C178" s="237"/>
      <c r="D178" s="238"/>
      <c r="E178" s="238"/>
      <c r="F178" s="238"/>
      <c r="G178" s="238"/>
      <c r="H178" s="238"/>
      <c r="I178" s="238"/>
      <c r="J178" s="238"/>
      <c r="K178" s="238"/>
      <c r="L178" s="245"/>
      <c r="M178" s="246"/>
      <c r="N178" s="246"/>
      <c r="O178" s="246"/>
      <c r="P178" s="246"/>
      <c r="Q178" s="246"/>
      <c r="R178" s="246"/>
      <c r="S178" s="246"/>
      <c r="T178" s="246"/>
      <c r="U178" s="247"/>
      <c r="V178" s="87"/>
      <c r="W178" s="87"/>
      <c r="X178" s="87"/>
      <c r="Y178" s="87"/>
      <c r="Z178" s="87"/>
      <c r="AA178" s="87"/>
      <c r="AB178" s="87"/>
      <c r="AC178" s="87"/>
      <c r="AD178" s="87"/>
      <c r="AE178" s="87"/>
      <c r="AF178" s="87"/>
    </row>
    <row r="179" spans="3:32" ht="15.75" customHeight="1" thickBot="1">
      <c r="C179" s="88"/>
      <c r="D179" s="88"/>
      <c r="E179" s="88"/>
      <c r="F179" s="88"/>
      <c r="G179" s="88"/>
      <c r="H179" s="88"/>
      <c r="I179" s="88"/>
      <c r="J179" s="88"/>
      <c r="K179" s="89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</row>
    <row r="180" spans="3:32" ht="15.75" customHeight="1">
      <c r="C180" s="233" t="str">
        <f>IF(OR(L138="",N138=""),"4º Lugar",IF(L138&lt;N138,D138,O138))</f>
        <v>4º Lugar</v>
      </c>
      <c r="D180" s="234"/>
      <c r="E180" s="234"/>
      <c r="F180" s="234"/>
      <c r="G180" s="234"/>
      <c r="H180" s="234"/>
      <c r="I180" s="234"/>
      <c r="J180" s="234"/>
      <c r="K180" s="234"/>
      <c r="L180" s="239" t="s">
        <v>145</v>
      </c>
      <c r="M180" s="240"/>
      <c r="N180" s="240"/>
      <c r="O180" s="240"/>
      <c r="P180" s="240"/>
      <c r="Q180" s="240"/>
      <c r="R180" s="240"/>
      <c r="S180" s="240"/>
      <c r="T180" s="240"/>
      <c r="U180" s="241"/>
      <c r="V180" s="87"/>
      <c r="W180" s="87"/>
      <c r="X180" s="87"/>
      <c r="Y180" s="87"/>
      <c r="Z180" s="87"/>
      <c r="AA180" s="87"/>
      <c r="AB180" s="87"/>
      <c r="AC180" s="87"/>
      <c r="AD180" s="87"/>
      <c r="AE180" s="87"/>
      <c r="AF180" s="87"/>
    </row>
    <row r="181" spans="3:32" ht="15.75" customHeight="1">
      <c r="C181" s="235"/>
      <c r="D181" s="236"/>
      <c r="E181" s="236"/>
      <c r="F181" s="236"/>
      <c r="G181" s="236"/>
      <c r="H181" s="236"/>
      <c r="I181" s="236"/>
      <c r="J181" s="236"/>
      <c r="K181" s="236"/>
      <c r="L181" s="242"/>
      <c r="M181" s="243"/>
      <c r="N181" s="243"/>
      <c r="O181" s="243"/>
      <c r="P181" s="243"/>
      <c r="Q181" s="243"/>
      <c r="R181" s="243"/>
      <c r="S181" s="243"/>
      <c r="T181" s="243"/>
      <c r="U181" s="244"/>
      <c r="V181" s="87"/>
      <c r="W181" s="87"/>
      <c r="X181" s="87"/>
      <c r="Y181" s="87"/>
      <c r="Z181" s="87"/>
      <c r="AA181" s="87"/>
      <c r="AB181" s="87"/>
      <c r="AC181" s="87"/>
      <c r="AD181" s="87"/>
      <c r="AE181" s="87"/>
      <c r="AF181" s="87"/>
    </row>
    <row r="182" spans="3:32" ht="15.75" customHeight="1">
      <c r="C182" s="235"/>
      <c r="D182" s="236"/>
      <c r="E182" s="236"/>
      <c r="F182" s="236"/>
      <c r="G182" s="236"/>
      <c r="H182" s="236"/>
      <c r="I182" s="236"/>
      <c r="J182" s="236"/>
      <c r="K182" s="236"/>
      <c r="L182" s="242"/>
      <c r="M182" s="243"/>
      <c r="N182" s="243"/>
      <c r="O182" s="243"/>
      <c r="P182" s="243"/>
      <c r="Q182" s="243"/>
      <c r="R182" s="243"/>
      <c r="S182" s="243"/>
      <c r="T182" s="243"/>
      <c r="U182" s="244"/>
      <c r="V182" s="87"/>
      <c r="W182" s="87"/>
      <c r="X182" s="87"/>
      <c r="Y182" s="87"/>
      <c r="Z182" s="87"/>
      <c r="AA182" s="87"/>
      <c r="AB182" s="87"/>
      <c r="AC182" s="87"/>
      <c r="AD182" s="87"/>
      <c r="AE182" s="87"/>
      <c r="AF182" s="87"/>
    </row>
    <row r="183" spans="3:32" ht="15.75" customHeight="1">
      <c r="C183" s="235"/>
      <c r="D183" s="236"/>
      <c r="E183" s="236"/>
      <c r="F183" s="236"/>
      <c r="G183" s="236"/>
      <c r="H183" s="236"/>
      <c r="I183" s="236"/>
      <c r="J183" s="236"/>
      <c r="K183" s="236"/>
      <c r="L183" s="242"/>
      <c r="M183" s="243"/>
      <c r="N183" s="243"/>
      <c r="O183" s="243"/>
      <c r="P183" s="243"/>
      <c r="Q183" s="243"/>
      <c r="R183" s="243"/>
      <c r="S183" s="243"/>
      <c r="T183" s="243"/>
      <c r="U183" s="244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</row>
    <row r="184" spans="3:32" ht="15.75" customHeight="1">
      <c r="C184" s="235"/>
      <c r="D184" s="236"/>
      <c r="E184" s="236"/>
      <c r="F184" s="236"/>
      <c r="G184" s="236"/>
      <c r="H184" s="236"/>
      <c r="I184" s="236"/>
      <c r="J184" s="236"/>
      <c r="K184" s="236"/>
      <c r="L184" s="242"/>
      <c r="M184" s="243"/>
      <c r="N184" s="243"/>
      <c r="O184" s="243"/>
      <c r="P184" s="243"/>
      <c r="Q184" s="243"/>
      <c r="R184" s="243"/>
      <c r="S184" s="243"/>
      <c r="T184" s="243"/>
      <c r="U184" s="244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  <c r="AF184" s="87"/>
    </row>
    <row r="185" spans="3:32" ht="15.75" customHeight="1">
      <c r="C185" s="235"/>
      <c r="D185" s="236"/>
      <c r="E185" s="236"/>
      <c r="F185" s="236"/>
      <c r="G185" s="236"/>
      <c r="H185" s="236"/>
      <c r="I185" s="236"/>
      <c r="J185" s="236"/>
      <c r="K185" s="236"/>
      <c r="L185" s="242"/>
      <c r="M185" s="243"/>
      <c r="N185" s="243"/>
      <c r="O185" s="243"/>
      <c r="P185" s="243"/>
      <c r="Q185" s="243"/>
      <c r="R185" s="243"/>
      <c r="S185" s="243"/>
      <c r="T185" s="243"/>
      <c r="U185" s="244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  <c r="AF185" s="87"/>
    </row>
    <row r="186" spans="3:32" ht="15.75" customHeight="1">
      <c r="C186" s="235"/>
      <c r="D186" s="236"/>
      <c r="E186" s="236"/>
      <c r="F186" s="236"/>
      <c r="G186" s="236"/>
      <c r="H186" s="236"/>
      <c r="I186" s="236"/>
      <c r="J186" s="236"/>
      <c r="K186" s="236"/>
      <c r="L186" s="242"/>
      <c r="M186" s="243"/>
      <c r="N186" s="243"/>
      <c r="O186" s="243"/>
      <c r="P186" s="243"/>
      <c r="Q186" s="243"/>
      <c r="R186" s="243"/>
      <c r="S186" s="243"/>
      <c r="T186" s="243"/>
      <c r="U186" s="244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  <c r="AF186" s="87"/>
    </row>
    <row r="187" spans="3:32" ht="15.75" customHeight="1">
      <c r="C187" s="235"/>
      <c r="D187" s="236"/>
      <c r="E187" s="236"/>
      <c r="F187" s="236"/>
      <c r="G187" s="236"/>
      <c r="H187" s="236"/>
      <c r="I187" s="236"/>
      <c r="J187" s="236"/>
      <c r="K187" s="236"/>
      <c r="L187" s="242"/>
      <c r="M187" s="243"/>
      <c r="N187" s="243"/>
      <c r="O187" s="243"/>
      <c r="P187" s="243"/>
      <c r="Q187" s="243"/>
      <c r="R187" s="243"/>
      <c r="S187" s="243"/>
      <c r="T187" s="243"/>
      <c r="U187" s="244"/>
      <c r="V187" s="87"/>
      <c r="W187" s="87"/>
      <c r="X187" s="87"/>
      <c r="Y187" s="87"/>
      <c r="Z187" s="87"/>
      <c r="AA187" s="87"/>
      <c r="AB187" s="87"/>
      <c r="AC187" s="87"/>
      <c r="AD187" s="87"/>
      <c r="AE187" s="87"/>
      <c r="AF187" s="87"/>
    </row>
    <row r="188" spans="3:32" ht="15.75" customHeight="1">
      <c r="C188" s="235"/>
      <c r="D188" s="236"/>
      <c r="E188" s="236"/>
      <c r="F188" s="236"/>
      <c r="G188" s="236"/>
      <c r="H188" s="236"/>
      <c r="I188" s="236"/>
      <c r="J188" s="236"/>
      <c r="K188" s="236"/>
      <c r="L188" s="242"/>
      <c r="M188" s="243"/>
      <c r="N188" s="243"/>
      <c r="O188" s="243"/>
      <c r="P188" s="243"/>
      <c r="Q188" s="243"/>
      <c r="R188" s="243"/>
      <c r="S188" s="243"/>
      <c r="T188" s="243"/>
      <c r="U188" s="244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  <c r="AF188" s="87"/>
    </row>
    <row r="189" spans="3:32" ht="15.75" customHeight="1" thickBot="1">
      <c r="C189" s="237"/>
      <c r="D189" s="238"/>
      <c r="E189" s="238"/>
      <c r="F189" s="238"/>
      <c r="G189" s="238"/>
      <c r="H189" s="238"/>
      <c r="I189" s="238"/>
      <c r="J189" s="238"/>
      <c r="K189" s="238"/>
      <c r="L189" s="245"/>
      <c r="M189" s="246"/>
      <c r="N189" s="246"/>
      <c r="O189" s="246"/>
      <c r="P189" s="246"/>
      <c r="Q189" s="246"/>
      <c r="R189" s="246"/>
      <c r="S189" s="246"/>
      <c r="T189" s="246"/>
      <c r="U189" s="247"/>
      <c r="V189" s="87"/>
      <c r="W189" s="87"/>
      <c r="X189" s="87"/>
      <c r="Y189" s="87"/>
      <c r="Z189" s="87"/>
      <c r="AA189" s="87"/>
      <c r="AB189" s="87"/>
      <c r="AC189" s="87"/>
      <c r="AD189" s="87"/>
      <c r="AE189" s="87"/>
      <c r="AF189" s="87"/>
    </row>
    <row r="190" spans="3:32" ht="15.75" customHeight="1" thickBot="1">
      <c r="C190" s="88"/>
      <c r="D190" s="88"/>
      <c r="E190" s="88"/>
      <c r="F190" s="88"/>
      <c r="G190" s="88"/>
      <c r="H190" s="88"/>
      <c r="I190" s="88"/>
      <c r="J190" s="88"/>
      <c r="K190" s="89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/>
      <c r="W190" s="88"/>
      <c r="X190" s="88"/>
      <c r="Y190" s="88"/>
      <c r="Z190" s="88"/>
      <c r="AA190" s="88"/>
      <c r="AB190" s="88"/>
      <c r="AC190" s="88"/>
      <c r="AD190" s="88"/>
      <c r="AE190" s="88"/>
      <c r="AF190" s="88"/>
    </row>
    <row r="191" spans="3:32" ht="15.75" customHeight="1">
      <c r="C191" s="233" t="str">
        <f>IF(OR(L131="",N131=""),"5º Lugar",IF(L131&gt;N131,D131,O131))</f>
        <v>5º Lugar</v>
      </c>
      <c r="D191" s="234"/>
      <c r="E191" s="234"/>
      <c r="F191" s="234"/>
      <c r="G191" s="234"/>
      <c r="H191" s="234"/>
      <c r="I191" s="234"/>
      <c r="J191" s="234"/>
      <c r="K191" s="234"/>
      <c r="L191" s="239" t="s">
        <v>146</v>
      </c>
      <c r="M191" s="240"/>
      <c r="N191" s="240"/>
      <c r="O191" s="240"/>
      <c r="P191" s="240"/>
      <c r="Q191" s="240"/>
      <c r="R191" s="240"/>
      <c r="S191" s="240"/>
      <c r="T191" s="240"/>
      <c r="U191" s="241"/>
      <c r="V191" s="87"/>
      <c r="W191" s="87"/>
      <c r="X191" s="87"/>
      <c r="Y191" s="87"/>
      <c r="Z191" s="87"/>
      <c r="AA191" s="87"/>
      <c r="AB191" s="87"/>
      <c r="AC191" s="87"/>
      <c r="AD191" s="87"/>
      <c r="AE191" s="87"/>
      <c r="AF191" s="87"/>
    </row>
    <row r="192" spans="3:32" ht="15.75" customHeight="1">
      <c r="C192" s="235"/>
      <c r="D192" s="236"/>
      <c r="E192" s="236"/>
      <c r="F192" s="236"/>
      <c r="G192" s="236"/>
      <c r="H192" s="236"/>
      <c r="I192" s="236"/>
      <c r="J192" s="236"/>
      <c r="K192" s="236"/>
      <c r="L192" s="242"/>
      <c r="M192" s="243"/>
      <c r="N192" s="243"/>
      <c r="O192" s="243"/>
      <c r="P192" s="243"/>
      <c r="Q192" s="243"/>
      <c r="R192" s="243"/>
      <c r="S192" s="243"/>
      <c r="T192" s="243"/>
      <c r="U192" s="244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  <c r="AF192" s="87"/>
    </row>
    <row r="193" spans="3:32" ht="15.75" customHeight="1">
      <c r="C193" s="235"/>
      <c r="D193" s="236"/>
      <c r="E193" s="236"/>
      <c r="F193" s="236"/>
      <c r="G193" s="236"/>
      <c r="H193" s="236"/>
      <c r="I193" s="236"/>
      <c r="J193" s="236"/>
      <c r="K193" s="236"/>
      <c r="L193" s="242"/>
      <c r="M193" s="243"/>
      <c r="N193" s="243"/>
      <c r="O193" s="243"/>
      <c r="P193" s="243"/>
      <c r="Q193" s="243"/>
      <c r="R193" s="243"/>
      <c r="S193" s="243"/>
      <c r="T193" s="243"/>
      <c r="U193" s="244"/>
      <c r="V193" s="87"/>
      <c r="W193" s="87"/>
      <c r="X193" s="87"/>
      <c r="Y193" s="87"/>
      <c r="Z193" s="87"/>
      <c r="AA193" s="87"/>
      <c r="AB193" s="87"/>
      <c r="AC193" s="87"/>
      <c r="AD193" s="87"/>
      <c r="AE193" s="87"/>
      <c r="AF193" s="87"/>
    </row>
    <row r="194" spans="3:32" ht="15.75" customHeight="1">
      <c r="C194" s="235"/>
      <c r="D194" s="236"/>
      <c r="E194" s="236"/>
      <c r="F194" s="236"/>
      <c r="G194" s="236"/>
      <c r="H194" s="236"/>
      <c r="I194" s="236"/>
      <c r="J194" s="236"/>
      <c r="K194" s="236"/>
      <c r="L194" s="242"/>
      <c r="M194" s="243"/>
      <c r="N194" s="243"/>
      <c r="O194" s="243"/>
      <c r="P194" s="243"/>
      <c r="Q194" s="243"/>
      <c r="R194" s="243"/>
      <c r="S194" s="243"/>
      <c r="T194" s="243"/>
      <c r="U194" s="244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  <c r="AF194" s="87"/>
    </row>
    <row r="195" spans="3:32" ht="15.75" customHeight="1">
      <c r="C195" s="235"/>
      <c r="D195" s="236"/>
      <c r="E195" s="236"/>
      <c r="F195" s="236"/>
      <c r="G195" s="236"/>
      <c r="H195" s="236"/>
      <c r="I195" s="236"/>
      <c r="J195" s="236"/>
      <c r="K195" s="236"/>
      <c r="L195" s="242"/>
      <c r="M195" s="243"/>
      <c r="N195" s="243"/>
      <c r="O195" s="243"/>
      <c r="P195" s="243"/>
      <c r="Q195" s="243"/>
      <c r="R195" s="243"/>
      <c r="S195" s="243"/>
      <c r="T195" s="243"/>
      <c r="U195" s="244"/>
      <c r="V195" s="87"/>
      <c r="W195" s="87"/>
      <c r="X195" s="87"/>
      <c r="Y195" s="87"/>
      <c r="Z195" s="87"/>
      <c r="AA195" s="87"/>
      <c r="AB195" s="87"/>
      <c r="AC195" s="87"/>
      <c r="AD195" s="87"/>
      <c r="AE195" s="87"/>
      <c r="AF195" s="87"/>
    </row>
    <row r="196" spans="3:32" ht="15.75" customHeight="1">
      <c r="C196" s="235"/>
      <c r="D196" s="236"/>
      <c r="E196" s="236"/>
      <c r="F196" s="236"/>
      <c r="G196" s="236"/>
      <c r="H196" s="236"/>
      <c r="I196" s="236"/>
      <c r="J196" s="236"/>
      <c r="K196" s="236"/>
      <c r="L196" s="242"/>
      <c r="M196" s="243"/>
      <c r="N196" s="243"/>
      <c r="O196" s="243"/>
      <c r="P196" s="243"/>
      <c r="Q196" s="243"/>
      <c r="R196" s="243"/>
      <c r="S196" s="243"/>
      <c r="T196" s="243"/>
      <c r="U196" s="244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  <c r="AF196" s="87"/>
    </row>
    <row r="197" spans="3:32" ht="15.75" customHeight="1">
      <c r="C197" s="235"/>
      <c r="D197" s="236"/>
      <c r="E197" s="236"/>
      <c r="F197" s="236"/>
      <c r="G197" s="236"/>
      <c r="H197" s="236"/>
      <c r="I197" s="236"/>
      <c r="J197" s="236"/>
      <c r="K197" s="236"/>
      <c r="L197" s="242"/>
      <c r="M197" s="243"/>
      <c r="N197" s="243"/>
      <c r="O197" s="243"/>
      <c r="P197" s="243"/>
      <c r="Q197" s="243"/>
      <c r="R197" s="243"/>
      <c r="S197" s="243"/>
      <c r="T197" s="243"/>
      <c r="U197" s="244"/>
      <c r="V197" s="87"/>
      <c r="W197" s="87"/>
      <c r="X197" s="87"/>
      <c r="Y197" s="87"/>
      <c r="Z197" s="87"/>
      <c r="AA197" s="87"/>
      <c r="AB197" s="87"/>
      <c r="AC197" s="87"/>
      <c r="AD197" s="87"/>
      <c r="AE197" s="87"/>
      <c r="AF197" s="87"/>
    </row>
    <row r="198" spans="3:32" ht="15.75" customHeight="1">
      <c r="C198" s="235"/>
      <c r="D198" s="236"/>
      <c r="E198" s="236"/>
      <c r="F198" s="236"/>
      <c r="G198" s="236"/>
      <c r="H198" s="236"/>
      <c r="I198" s="236"/>
      <c r="J198" s="236"/>
      <c r="K198" s="236"/>
      <c r="L198" s="242"/>
      <c r="M198" s="243"/>
      <c r="N198" s="243"/>
      <c r="O198" s="243"/>
      <c r="P198" s="243"/>
      <c r="Q198" s="243"/>
      <c r="R198" s="243"/>
      <c r="S198" s="243"/>
      <c r="T198" s="243"/>
      <c r="U198" s="244"/>
      <c r="V198" s="87"/>
      <c r="W198" s="87"/>
      <c r="X198" s="87"/>
      <c r="Y198" s="87"/>
      <c r="Z198" s="87"/>
      <c r="AA198" s="87"/>
      <c r="AB198" s="87"/>
      <c r="AC198" s="87"/>
      <c r="AD198" s="87"/>
      <c r="AE198" s="87"/>
      <c r="AF198" s="87"/>
    </row>
    <row r="199" spans="3:32" ht="15.75" customHeight="1">
      <c r="C199" s="235"/>
      <c r="D199" s="236"/>
      <c r="E199" s="236"/>
      <c r="F199" s="236"/>
      <c r="G199" s="236"/>
      <c r="H199" s="236"/>
      <c r="I199" s="236"/>
      <c r="J199" s="236"/>
      <c r="K199" s="236"/>
      <c r="L199" s="242"/>
      <c r="M199" s="243"/>
      <c r="N199" s="243"/>
      <c r="O199" s="243"/>
      <c r="P199" s="243"/>
      <c r="Q199" s="243"/>
      <c r="R199" s="243"/>
      <c r="S199" s="243"/>
      <c r="T199" s="243"/>
      <c r="U199" s="244"/>
      <c r="V199" s="87"/>
      <c r="W199" s="87"/>
      <c r="X199" s="87"/>
      <c r="Y199" s="87"/>
      <c r="Z199" s="87"/>
      <c r="AA199" s="87"/>
      <c r="AB199" s="87"/>
      <c r="AC199" s="87"/>
      <c r="AD199" s="87"/>
      <c r="AE199" s="87"/>
      <c r="AF199" s="87"/>
    </row>
    <row r="200" spans="3:32" ht="15.75" customHeight="1" thickBot="1">
      <c r="C200" s="237"/>
      <c r="D200" s="238"/>
      <c r="E200" s="238"/>
      <c r="F200" s="238"/>
      <c r="G200" s="238"/>
      <c r="H200" s="238"/>
      <c r="I200" s="238"/>
      <c r="J200" s="238"/>
      <c r="K200" s="238"/>
      <c r="L200" s="245"/>
      <c r="M200" s="246"/>
      <c r="N200" s="246"/>
      <c r="O200" s="246"/>
      <c r="P200" s="246"/>
      <c r="Q200" s="246"/>
      <c r="R200" s="246"/>
      <c r="S200" s="246"/>
      <c r="T200" s="246"/>
      <c r="U200" s="247"/>
      <c r="V200" s="87"/>
      <c r="W200" s="87"/>
      <c r="X200" s="87"/>
      <c r="Y200" s="87"/>
      <c r="Z200" s="87"/>
      <c r="AA200" s="87"/>
      <c r="AB200" s="87"/>
      <c r="AC200" s="87"/>
      <c r="AD200" s="87"/>
      <c r="AE200" s="87"/>
      <c r="AF200" s="87"/>
    </row>
    <row r="201" spans="3:32" ht="15.75" customHeight="1" thickBot="1">
      <c r="C201" s="88"/>
      <c r="D201" s="88"/>
      <c r="E201" s="88"/>
      <c r="F201" s="88"/>
      <c r="G201" s="88"/>
      <c r="H201" s="88"/>
      <c r="I201" s="88"/>
      <c r="J201" s="88"/>
      <c r="K201" s="89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</row>
    <row r="202" spans="3:32" ht="15.75" customHeight="1">
      <c r="C202" s="233" t="str">
        <f>IF(OR(L131="",N131=""),"6º Lugar",IF(L131&lt;N131,D131,O131))</f>
        <v>6º Lugar</v>
      </c>
      <c r="D202" s="234"/>
      <c r="E202" s="234"/>
      <c r="F202" s="234"/>
      <c r="G202" s="234"/>
      <c r="H202" s="234"/>
      <c r="I202" s="234"/>
      <c r="J202" s="234"/>
      <c r="K202" s="234"/>
      <c r="L202" s="239" t="s">
        <v>147</v>
      </c>
      <c r="M202" s="240"/>
      <c r="N202" s="240"/>
      <c r="O202" s="240"/>
      <c r="P202" s="240"/>
      <c r="Q202" s="240"/>
      <c r="R202" s="240"/>
      <c r="S202" s="240"/>
      <c r="T202" s="240"/>
      <c r="U202" s="241"/>
      <c r="V202" s="87"/>
      <c r="W202" s="87"/>
      <c r="X202" s="87"/>
      <c r="Y202" s="87"/>
      <c r="Z202" s="87"/>
      <c r="AA202" s="87"/>
      <c r="AB202" s="87"/>
      <c r="AC202" s="87"/>
      <c r="AD202" s="87"/>
      <c r="AE202" s="87"/>
      <c r="AF202" s="87"/>
    </row>
    <row r="203" spans="3:32" ht="15.75" customHeight="1">
      <c r="C203" s="235"/>
      <c r="D203" s="236"/>
      <c r="E203" s="236"/>
      <c r="F203" s="236"/>
      <c r="G203" s="236"/>
      <c r="H203" s="236"/>
      <c r="I203" s="236"/>
      <c r="J203" s="236"/>
      <c r="K203" s="236"/>
      <c r="L203" s="242"/>
      <c r="M203" s="243"/>
      <c r="N203" s="243"/>
      <c r="O203" s="243"/>
      <c r="P203" s="243"/>
      <c r="Q203" s="243"/>
      <c r="R203" s="243"/>
      <c r="S203" s="243"/>
      <c r="T203" s="243"/>
      <c r="U203" s="244"/>
      <c r="V203" s="87"/>
      <c r="W203" s="87"/>
      <c r="X203" s="87"/>
      <c r="Y203" s="87"/>
      <c r="Z203" s="87"/>
      <c r="AA203" s="87"/>
      <c r="AB203" s="87"/>
      <c r="AC203" s="87"/>
      <c r="AD203" s="87"/>
      <c r="AE203" s="87"/>
      <c r="AF203" s="87"/>
    </row>
    <row r="204" spans="3:32" ht="15.75" customHeight="1">
      <c r="C204" s="235"/>
      <c r="D204" s="236"/>
      <c r="E204" s="236"/>
      <c r="F204" s="236"/>
      <c r="G204" s="236"/>
      <c r="H204" s="236"/>
      <c r="I204" s="236"/>
      <c r="J204" s="236"/>
      <c r="K204" s="236"/>
      <c r="L204" s="242"/>
      <c r="M204" s="243"/>
      <c r="N204" s="243"/>
      <c r="O204" s="243"/>
      <c r="P204" s="243"/>
      <c r="Q204" s="243"/>
      <c r="R204" s="243"/>
      <c r="S204" s="243"/>
      <c r="T204" s="243"/>
      <c r="U204" s="244"/>
      <c r="V204" s="87"/>
      <c r="W204" s="87"/>
      <c r="X204" s="87"/>
      <c r="Y204" s="87"/>
      <c r="Z204" s="87"/>
      <c r="AA204" s="87"/>
      <c r="AB204" s="87"/>
      <c r="AC204" s="87"/>
      <c r="AD204" s="87"/>
      <c r="AE204" s="87"/>
      <c r="AF204" s="87"/>
    </row>
    <row r="205" spans="3:32" ht="15.75" customHeight="1">
      <c r="C205" s="235"/>
      <c r="D205" s="236"/>
      <c r="E205" s="236"/>
      <c r="F205" s="236"/>
      <c r="G205" s="236"/>
      <c r="H205" s="236"/>
      <c r="I205" s="236"/>
      <c r="J205" s="236"/>
      <c r="K205" s="236"/>
      <c r="L205" s="242"/>
      <c r="M205" s="243"/>
      <c r="N205" s="243"/>
      <c r="O205" s="243"/>
      <c r="P205" s="243"/>
      <c r="Q205" s="243"/>
      <c r="R205" s="243"/>
      <c r="S205" s="243"/>
      <c r="T205" s="243"/>
      <c r="U205" s="244"/>
      <c r="V205" s="87"/>
      <c r="W205" s="87"/>
      <c r="X205" s="87"/>
      <c r="Y205" s="87"/>
      <c r="Z205" s="87"/>
      <c r="AA205" s="87"/>
      <c r="AB205" s="87"/>
      <c r="AC205" s="87"/>
      <c r="AD205" s="87"/>
      <c r="AE205" s="87"/>
      <c r="AF205" s="87"/>
    </row>
    <row r="206" spans="3:32" ht="15.75" customHeight="1">
      <c r="C206" s="235"/>
      <c r="D206" s="236"/>
      <c r="E206" s="236"/>
      <c r="F206" s="236"/>
      <c r="G206" s="236"/>
      <c r="H206" s="236"/>
      <c r="I206" s="236"/>
      <c r="J206" s="236"/>
      <c r="K206" s="236"/>
      <c r="L206" s="242"/>
      <c r="M206" s="243"/>
      <c r="N206" s="243"/>
      <c r="O206" s="243"/>
      <c r="P206" s="243"/>
      <c r="Q206" s="243"/>
      <c r="R206" s="243"/>
      <c r="S206" s="243"/>
      <c r="T206" s="243"/>
      <c r="U206" s="244"/>
      <c r="V206" s="87"/>
      <c r="W206" s="87"/>
      <c r="X206" s="87"/>
      <c r="Y206" s="87"/>
      <c r="Z206" s="87"/>
      <c r="AA206" s="87"/>
      <c r="AB206" s="87"/>
      <c r="AC206" s="87"/>
      <c r="AD206" s="87"/>
      <c r="AE206" s="87"/>
      <c r="AF206" s="87"/>
    </row>
    <row r="207" spans="3:32" ht="15.75" customHeight="1">
      <c r="C207" s="235"/>
      <c r="D207" s="236"/>
      <c r="E207" s="236"/>
      <c r="F207" s="236"/>
      <c r="G207" s="236"/>
      <c r="H207" s="236"/>
      <c r="I207" s="236"/>
      <c r="J207" s="236"/>
      <c r="K207" s="236"/>
      <c r="L207" s="242"/>
      <c r="M207" s="243"/>
      <c r="N207" s="243"/>
      <c r="O207" s="243"/>
      <c r="P207" s="243"/>
      <c r="Q207" s="243"/>
      <c r="R207" s="243"/>
      <c r="S207" s="243"/>
      <c r="T207" s="243"/>
      <c r="U207" s="244"/>
      <c r="V207" s="87"/>
      <c r="W207" s="87"/>
      <c r="X207" s="87"/>
      <c r="Y207" s="87"/>
      <c r="Z207" s="87"/>
      <c r="AA207" s="87"/>
      <c r="AB207" s="87"/>
      <c r="AC207" s="87"/>
      <c r="AD207" s="87"/>
      <c r="AE207" s="87"/>
      <c r="AF207" s="87"/>
    </row>
    <row r="208" spans="3:32" ht="15.75" customHeight="1">
      <c r="C208" s="235"/>
      <c r="D208" s="236"/>
      <c r="E208" s="236"/>
      <c r="F208" s="236"/>
      <c r="G208" s="236"/>
      <c r="H208" s="236"/>
      <c r="I208" s="236"/>
      <c r="J208" s="236"/>
      <c r="K208" s="236"/>
      <c r="L208" s="242"/>
      <c r="M208" s="243"/>
      <c r="N208" s="243"/>
      <c r="O208" s="243"/>
      <c r="P208" s="243"/>
      <c r="Q208" s="243"/>
      <c r="R208" s="243"/>
      <c r="S208" s="243"/>
      <c r="T208" s="243"/>
      <c r="U208" s="244"/>
      <c r="V208" s="87"/>
      <c r="W208" s="87"/>
      <c r="X208" s="87"/>
      <c r="Y208" s="87"/>
      <c r="Z208" s="87"/>
      <c r="AA208" s="87"/>
      <c r="AB208" s="87"/>
      <c r="AC208" s="87"/>
      <c r="AD208" s="87"/>
      <c r="AE208" s="87"/>
      <c r="AF208" s="87"/>
    </row>
    <row r="209" spans="3:32" ht="15.75" customHeight="1">
      <c r="C209" s="235"/>
      <c r="D209" s="236"/>
      <c r="E209" s="236"/>
      <c r="F209" s="236"/>
      <c r="G209" s="236"/>
      <c r="H209" s="236"/>
      <c r="I209" s="236"/>
      <c r="J209" s="236"/>
      <c r="K209" s="236"/>
      <c r="L209" s="242"/>
      <c r="M209" s="243"/>
      <c r="N209" s="243"/>
      <c r="O209" s="243"/>
      <c r="P209" s="243"/>
      <c r="Q209" s="243"/>
      <c r="R209" s="243"/>
      <c r="S209" s="243"/>
      <c r="T209" s="243"/>
      <c r="U209" s="244"/>
      <c r="V209" s="87"/>
      <c r="W209" s="87"/>
      <c r="X209" s="87"/>
      <c r="Y209" s="87"/>
      <c r="Z209" s="87"/>
      <c r="AA209" s="87"/>
      <c r="AB209" s="87"/>
      <c r="AC209" s="87"/>
      <c r="AD209" s="87"/>
      <c r="AE209" s="87"/>
      <c r="AF209" s="87"/>
    </row>
    <row r="210" spans="3:32" ht="15.75" customHeight="1">
      <c r="C210" s="235"/>
      <c r="D210" s="236"/>
      <c r="E210" s="236"/>
      <c r="F210" s="236"/>
      <c r="G210" s="236"/>
      <c r="H210" s="236"/>
      <c r="I210" s="236"/>
      <c r="J210" s="236"/>
      <c r="K210" s="236"/>
      <c r="L210" s="242"/>
      <c r="M210" s="243"/>
      <c r="N210" s="243"/>
      <c r="O210" s="243"/>
      <c r="P210" s="243"/>
      <c r="Q210" s="243"/>
      <c r="R210" s="243"/>
      <c r="S210" s="243"/>
      <c r="T210" s="243"/>
      <c r="U210" s="244"/>
      <c r="V210" s="87"/>
      <c r="W210" s="87"/>
      <c r="X210" s="87"/>
      <c r="Y210" s="87"/>
      <c r="Z210" s="87"/>
      <c r="AA210" s="87"/>
      <c r="AB210" s="87"/>
      <c r="AC210" s="87"/>
      <c r="AD210" s="87"/>
      <c r="AE210" s="87"/>
      <c r="AF210" s="87"/>
    </row>
    <row r="211" spans="3:32" ht="15.75" customHeight="1" thickBot="1">
      <c r="C211" s="237"/>
      <c r="D211" s="238"/>
      <c r="E211" s="238"/>
      <c r="F211" s="238"/>
      <c r="G211" s="238"/>
      <c r="H211" s="238"/>
      <c r="I211" s="238"/>
      <c r="J211" s="238"/>
      <c r="K211" s="238"/>
      <c r="L211" s="245"/>
      <c r="M211" s="246"/>
      <c r="N211" s="246"/>
      <c r="O211" s="246"/>
      <c r="P211" s="246"/>
      <c r="Q211" s="246"/>
      <c r="R211" s="246"/>
      <c r="S211" s="246"/>
      <c r="T211" s="246"/>
      <c r="U211" s="247"/>
      <c r="V211" s="87"/>
      <c r="W211" s="87"/>
      <c r="X211" s="87"/>
      <c r="Y211" s="87"/>
      <c r="Z211" s="87"/>
      <c r="AA211" s="87"/>
      <c r="AB211" s="87"/>
      <c r="AC211" s="87"/>
      <c r="AD211" s="87"/>
      <c r="AE211" s="87"/>
      <c r="AF211" s="87"/>
    </row>
    <row r="212" spans="3:32" ht="15.75" customHeight="1" thickBot="1">
      <c r="C212" s="88"/>
      <c r="D212" s="88"/>
      <c r="E212" s="88"/>
      <c r="F212" s="88"/>
      <c r="G212" s="88"/>
      <c r="H212" s="88"/>
      <c r="I212" s="88"/>
      <c r="J212" s="88"/>
      <c r="K212" s="89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</row>
    <row r="213" spans="3:32" ht="15.75" customHeight="1">
      <c r="C213" s="233" t="str">
        <f>IF(OR(L124="",N124=""),"7º Lugar",IF(L124&gt;N124,D124,O124))</f>
        <v>7º Lugar</v>
      </c>
      <c r="D213" s="234"/>
      <c r="E213" s="234"/>
      <c r="F213" s="234"/>
      <c r="G213" s="234"/>
      <c r="H213" s="234"/>
      <c r="I213" s="234"/>
      <c r="J213" s="234"/>
      <c r="K213" s="234"/>
      <c r="L213" s="239" t="s">
        <v>148</v>
      </c>
      <c r="M213" s="240"/>
      <c r="N213" s="240"/>
      <c r="O213" s="240"/>
      <c r="P213" s="240"/>
      <c r="Q213" s="240"/>
      <c r="R213" s="240"/>
      <c r="S213" s="240"/>
      <c r="T213" s="240"/>
      <c r="U213" s="241"/>
      <c r="V213" s="87"/>
      <c r="W213" s="87"/>
      <c r="X213" s="87"/>
      <c r="Y213" s="87"/>
      <c r="Z213" s="87"/>
      <c r="AA213" s="87"/>
      <c r="AB213" s="87"/>
      <c r="AC213" s="87"/>
      <c r="AD213" s="87"/>
      <c r="AE213" s="87"/>
      <c r="AF213" s="87"/>
    </row>
    <row r="214" spans="3:32" ht="15.75" customHeight="1">
      <c r="C214" s="235"/>
      <c r="D214" s="236"/>
      <c r="E214" s="236"/>
      <c r="F214" s="236"/>
      <c r="G214" s="236"/>
      <c r="H214" s="236"/>
      <c r="I214" s="236"/>
      <c r="J214" s="236"/>
      <c r="K214" s="236"/>
      <c r="L214" s="242"/>
      <c r="M214" s="243"/>
      <c r="N214" s="243"/>
      <c r="O214" s="243"/>
      <c r="P214" s="243"/>
      <c r="Q214" s="243"/>
      <c r="R214" s="243"/>
      <c r="S214" s="243"/>
      <c r="T214" s="243"/>
      <c r="U214" s="244"/>
      <c r="V214" s="87"/>
      <c r="W214" s="87"/>
      <c r="X214" s="87"/>
      <c r="Y214" s="87"/>
      <c r="Z214" s="87"/>
      <c r="AA214" s="87"/>
      <c r="AB214" s="87"/>
      <c r="AC214" s="87"/>
      <c r="AD214" s="87"/>
      <c r="AE214" s="87"/>
      <c r="AF214" s="87"/>
    </row>
    <row r="215" spans="3:32" ht="15.75" customHeight="1">
      <c r="C215" s="235"/>
      <c r="D215" s="236"/>
      <c r="E215" s="236"/>
      <c r="F215" s="236"/>
      <c r="G215" s="236"/>
      <c r="H215" s="236"/>
      <c r="I215" s="236"/>
      <c r="J215" s="236"/>
      <c r="K215" s="236"/>
      <c r="L215" s="242"/>
      <c r="M215" s="243"/>
      <c r="N215" s="243"/>
      <c r="O215" s="243"/>
      <c r="P215" s="243"/>
      <c r="Q215" s="243"/>
      <c r="R215" s="243"/>
      <c r="S215" s="243"/>
      <c r="T215" s="243"/>
      <c r="U215" s="244"/>
      <c r="V215" s="87"/>
      <c r="W215" s="87"/>
      <c r="X215" s="87"/>
      <c r="Y215" s="87"/>
      <c r="Z215" s="87"/>
      <c r="AA215" s="87"/>
      <c r="AB215" s="87"/>
      <c r="AC215" s="87"/>
      <c r="AD215" s="87"/>
      <c r="AE215" s="87"/>
      <c r="AF215" s="87"/>
    </row>
    <row r="216" spans="3:32" ht="15.75" customHeight="1">
      <c r="C216" s="235"/>
      <c r="D216" s="236"/>
      <c r="E216" s="236"/>
      <c r="F216" s="236"/>
      <c r="G216" s="236"/>
      <c r="H216" s="236"/>
      <c r="I216" s="236"/>
      <c r="J216" s="236"/>
      <c r="K216" s="236"/>
      <c r="L216" s="242"/>
      <c r="M216" s="243"/>
      <c r="N216" s="243"/>
      <c r="O216" s="243"/>
      <c r="P216" s="243"/>
      <c r="Q216" s="243"/>
      <c r="R216" s="243"/>
      <c r="S216" s="243"/>
      <c r="T216" s="243"/>
      <c r="U216" s="244"/>
      <c r="V216" s="87"/>
      <c r="W216" s="87"/>
      <c r="X216" s="87"/>
      <c r="Y216" s="87"/>
      <c r="Z216" s="87"/>
      <c r="AA216" s="87"/>
      <c r="AB216" s="87"/>
      <c r="AC216" s="87"/>
      <c r="AD216" s="87"/>
      <c r="AE216" s="87"/>
      <c r="AF216" s="87"/>
    </row>
    <row r="217" spans="3:32" ht="15.75" customHeight="1">
      <c r="C217" s="235"/>
      <c r="D217" s="236"/>
      <c r="E217" s="236"/>
      <c r="F217" s="236"/>
      <c r="G217" s="236"/>
      <c r="H217" s="236"/>
      <c r="I217" s="236"/>
      <c r="J217" s="236"/>
      <c r="K217" s="236"/>
      <c r="L217" s="242"/>
      <c r="M217" s="243"/>
      <c r="N217" s="243"/>
      <c r="O217" s="243"/>
      <c r="P217" s="243"/>
      <c r="Q217" s="243"/>
      <c r="R217" s="243"/>
      <c r="S217" s="243"/>
      <c r="T217" s="243"/>
      <c r="U217" s="244"/>
      <c r="V217" s="87"/>
      <c r="W217" s="87"/>
      <c r="X217" s="87"/>
      <c r="Y217" s="87"/>
      <c r="Z217" s="87"/>
      <c r="AA217" s="87"/>
      <c r="AB217" s="87"/>
      <c r="AC217" s="87"/>
      <c r="AD217" s="87"/>
      <c r="AE217" s="87"/>
      <c r="AF217" s="87"/>
    </row>
    <row r="218" spans="3:32" ht="15.75" customHeight="1">
      <c r="C218" s="235"/>
      <c r="D218" s="236"/>
      <c r="E218" s="236"/>
      <c r="F218" s="236"/>
      <c r="G218" s="236"/>
      <c r="H218" s="236"/>
      <c r="I218" s="236"/>
      <c r="J218" s="236"/>
      <c r="K218" s="236"/>
      <c r="L218" s="242"/>
      <c r="M218" s="243"/>
      <c r="N218" s="243"/>
      <c r="O218" s="243"/>
      <c r="P218" s="243"/>
      <c r="Q218" s="243"/>
      <c r="R218" s="243"/>
      <c r="S218" s="243"/>
      <c r="T218" s="243"/>
      <c r="U218" s="244"/>
      <c r="V218" s="87"/>
      <c r="W218" s="87"/>
      <c r="X218" s="87"/>
      <c r="Y218" s="87"/>
      <c r="Z218" s="87"/>
      <c r="AA218" s="87"/>
      <c r="AB218" s="87"/>
      <c r="AC218" s="87"/>
      <c r="AD218" s="87"/>
      <c r="AE218" s="87"/>
      <c r="AF218" s="87"/>
    </row>
    <row r="219" spans="3:32" ht="15.75" customHeight="1">
      <c r="C219" s="235"/>
      <c r="D219" s="236"/>
      <c r="E219" s="236"/>
      <c r="F219" s="236"/>
      <c r="G219" s="236"/>
      <c r="H219" s="236"/>
      <c r="I219" s="236"/>
      <c r="J219" s="236"/>
      <c r="K219" s="236"/>
      <c r="L219" s="242"/>
      <c r="M219" s="243"/>
      <c r="N219" s="243"/>
      <c r="O219" s="243"/>
      <c r="P219" s="243"/>
      <c r="Q219" s="243"/>
      <c r="R219" s="243"/>
      <c r="S219" s="243"/>
      <c r="T219" s="243"/>
      <c r="U219" s="244"/>
      <c r="V219" s="87"/>
      <c r="W219" s="87"/>
      <c r="X219" s="87"/>
      <c r="Y219" s="87"/>
      <c r="Z219" s="87"/>
      <c r="AA219" s="87"/>
      <c r="AB219" s="87"/>
      <c r="AC219" s="87"/>
      <c r="AD219" s="87"/>
      <c r="AE219" s="87"/>
      <c r="AF219" s="87"/>
    </row>
    <row r="220" spans="3:32" ht="15.75" customHeight="1">
      <c r="C220" s="235"/>
      <c r="D220" s="236"/>
      <c r="E220" s="236"/>
      <c r="F220" s="236"/>
      <c r="G220" s="236"/>
      <c r="H220" s="236"/>
      <c r="I220" s="236"/>
      <c r="J220" s="236"/>
      <c r="K220" s="236"/>
      <c r="L220" s="242"/>
      <c r="M220" s="243"/>
      <c r="N220" s="243"/>
      <c r="O220" s="243"/>
      <c r="P220" s="243"/>
      <c r="Q220" s="243"/>
      <c r="R220" s="243"/>
      <c r="S220" s="243"/>
      <c r="T220" s="243"/>
      <c r="U220" s="244"/>
      <c r="V220" s="87"/>
      <c r="W220" s="87"/>
      <c r="X220" s="87"/>
      <c r="Y220" s="87"/>
      <c r="Z220" s="87"/>
      <c r="AA220" s="87"/>
      <c r="AB220" s="87"/>
      <c r="AC220" s="87"/>
      <c r="AD220" s="87"/>
      <c r="AE220" s="87"/>
      <c r="AF220" s="87"/>
    </row>
    <row r="221" spans="3:32" ht="15.75" customHeight="1">
      <c r="C221" s="235"/>
      <c r="D221" s="236"/>
      <c r="E221" s="236"/>
      <c r="F221" s="236"/>
      <c r="G221" s="236"/>
      <c r="H221" s="236"/>
      <c r="I221" s="236"/>
      <c r="J221" s="236"/>
      <c r="K221" s="236"/>
      <c r="L221" s="242"/>
      <c r="M221" s="243"/>
      <c r="N221" s="243"/>
      <c r="O221" s="243"/>
      <c r="P221" s="243"/>
      <c r="Q221" s="243"/>
      <c r="R221" s="243"/>
      <c r="S221" s="243"/>
      <c r="T221" s="243"/>
      <c r="U221" s="244"/>
      <c r="V221" s="87"/>
      <c r="W221" s="87"/>
      <c r="X221" s="87"/>
      <c r="Y221" s="87"/>
      <c r="Z221" s="87"/>
      <c r="AA221" s="87"/>
      <c r="AB221" s="87"/>
      <c r="AC221" s="87"/>
      <c r="AD221" s="87"/>
      <c r="AE221" s="87"/>
      <c r="AF221" s="87"/>
    </row>
    <row r="222" spans="3:32" ht="15.75" customHeight="1" thickBot="1">
      <c r="C222" s="237"/>
      <c r="D222" s="238"/>
      <c r="E222" s="238"/>
      <c r="F222" s="238"/>
      <c r="G222" s="238"/>
      <c r="H222" s="238"/>
      <c r="I222" s="238"/>
      <c r="J222" s="238"/>
      <c r="K222" s="238"/>
      <c r="L222" s="245"/>
      <c r="M222" s="246"/>
      <c r="N222" s="246"/>
      <c r="O222" s="246"/>
      <c r="P222" s="246"/>
      <c r="Q222" s="246"/>
      <c r="R222" s="246"/>
      <c r="S222" s="246"/>
      <c r="T222" s="246"/>
      <c r="U222" s="247"/>
      <c r="V222" s="87"/>
      <c r="W222" s="87"/>
      <c r="X222" s="87"/>
      <c r="Y222" s="87"/>
      <c r="Z222" s="87"/>
      <c r="AA222" s="87"/>
      <c r="AB222" s="87"/>
      <c r="AC222" s="87"/>
      <c r="AD222" s="87"/>
      <c r="AE222" s="87"/>
      <c r="AF222" s="87"/>
    </row>
    <row r="223" spans="3:32" ht="15.75" customHeight="1" thickBot="1">
      <c r="C223" s="89"/>
      <c r="D223" s="89"/>
      <c r="E223" s="89"/>
      <c r="F223" s="89"/>
      <c r="G223" s="89"/>
      <c r="H223" s="89"/>
      <c r="I223" s="89"/>
      <c r="J223" s="89"/>
      <c r="K223" s="89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</row>
    <row r="224" spans="3:32" ht="15.75" customHeight="1">
      <c r="C224" s="233" t="str">
        <f>IF(OR(L124="",N124=""),"8º Lugar",IF(L124&lt;N124,D124,O124))</f>
        <v>8º Lugar</v>
      </c>
      <c r="D224" s="234"/>
      <c r="E224" s="234"/>
      <c r="F224" s="234"/>
      <c r="G224" s="234"/>
      <c r="H224" s="234"/>
      <c r="I224" s="234"/>
      <c r="J224" s="234"/>
      <c r="K224" s="234"/>
      <c r="L224" s="239" t="s">
        <v>149</v>
      </c>
      <c r="M224" s="240"/>
      <c r="N224" s="240"/>
      <c r="O224" s="240"/>
      <c r="P224" s="240"/>
      <c r="Q224" s="240"/>
      <c r="R224" s="240"/>
      <c r="S224" s="240"/>
      <c r="T224" s="240"/>
      <c r="U224" s="241"/>
      <c r="V224" s="87"/>
      <c r="W224" s="87"/>
      <c r="X224" s="87"/>
      <c r="Y224" s="87"/>
      <c r="Z224" s="87"/>
      <c r="AA224" s="87"/>
      <c r="AB224" s="87"/>
      <c r="AC224" s="87"/>
      <c r="AD224" s="87"/>
      <c r="AE224" s="87"/>
      <c r="AF224" s="87"/>
    </row>
    <row r="225" spans="3:32" ht="15.75" customHeight="1">
      <c r="C225" s="235"/>
      <c r="D225" s="236"/>
      <c r="E225" s="236"/>
      <c r="F225" s="236"/>
      <c r="G225" s="236"/>
      <c r="H225" s="236"/>
      <c r="I225" s="236"/>
      <c r="J225" s="236"/>
      <c r="K225" s="236"/>
      <c r="L225" s="242"/>
      <c r="M225" s="243"/>
      <c r="N225" s="243"/>
      <c r="O225" s="243"/>
      <c r="P225" s="243"/>
      <c r="Q225" s="243"/>
      <c r="R225" s="243"/>
      <c r="S225" s="243"/>
      <c r="T225" s="243"/>
      <c r="U225" s="244"/>
      <c r="V225" s="87"/>
      <c r="W225" s="87"/>
      <c r="X225" s="87"/>
      <c r="Y225" s="87"/>
      <c r="Z225" s="87"/>
      <c r="AA225" s="87"/>
      <c r="AB225" s="87"/>
      <c r="AC225" s="87"/>
      <c r="AD225" s="87"/>
      <c r="AE225" s="87"/>
      <c r="AF225" s="87"/>
    </row>
    <row r="226" spans="3:32" ht="15.75" customHeight="1">
      <c r="C226" s="235"/>
      <c r="D226" s="236"/>
      <c r="E226" s="236"/>
      <c r="F226" s="236"/>
      <c r="G226" s="236"/>
      <c r="H226" s="236"/>
      <c r="I226" s="236"/>
      <c r="J226" s="236"/>
      <c r="K226" s="236"/>
      <c r="L226" s="242"/>
      <c r="M226" s="243"/>
      <c r="N226" s="243"/>
      <c r="O226" s="243"/>
      <c r="P226" s="243"/>
      <c r="Q226" s="243"/>
      <c r="R226" s="243"/>
      <c r="S226" s="243"/>
      <c r="T226" s="243"/>
      <c r="U226" s="244"/>
      <c r="V226" s="87"/>
      <c r="W226" s="87"/>
      <c r="X226" s="87"/>
      <c r="Y226" s="87"/>
      <c r="Z226" s="87"/>
      <c r="AA226" s="87"/>
      <c r="AB226" s="87"/>
      <c r="AC226" s="87"/>
      <c r="AD226" s="87"/>
      <c r="AE226" s="87"/>
      <c r="AF226" s="87"/>
    </row>
    <row r="227" spans="3:32" ht="15.75" customHeight="1">
      <c r="C227" s="235"/>
      <c r="D227" s="236"/>
      <c r="E227" s="236"/>
      <c r="F227" s="236"/>
      <c r="G227" s="236"/>
      <c r="H227" s="236"/>
      <c r="I227" s="236"/>
      <c r="J227" s="236"/>
      <c r="K227" s="236"/>
      <c r="L227" s="242"/>
      <c r="M227" s="243"/>
      <c r="N227" s="243"/>
      <c r="O227" s="243"/>
      <c r="P227" s="243"/>
      <c r="Q227" s="243"/>
      <c r="R227" s="243"/>
      <c r="S227" s="243"/>
      <c r="T227" s="243"/>
      <c r="U227" s="244"/>
      <c r="V227" s="87"/>
      <c r="W227" s="87"/>
      <c r="X227" s="87"/>
      <c r="Y227" s="87"/>
      <c r="Z227" s="87"/>
      <c r="AA227" s="87"/>
      <c r="AB227" s="87"/>
      <c r="AC227" s="87"/>
      <c r="AD227" s="87"/>
      <c r="AE227" s="87"/>
      <c r="AF227" s="87"/>
    </row>
    <row r="228" spans="3:32" ht="15.75" customHeight="1">
      <c r="C228" s="235"/>
      <c r="D228" s="236"/>
      <c r="E228" s="236"/>
      <c r="F228" s="236"/>
      <c r="G228" s="236"/>
      <c r="H228" s="236"/>
      <c r="I228" s="236"/>
      <c r="J228" s="236"/>
      <c r="K228" s="236"/>
      <c r="L228" s="242"/>
      <c r="M228" s="243"/>
      <c r="N228" s="243"/>
      <c r="O228" s="243"/>
      <c r="P228" s="243"/>
      <c r="Q228" s="243"/>
      <c r="R228" s="243"/>
      <c r="S228" s="243"/>
      <c r="T228" s="243"/>
      <c r="U228" s="244"/>
      <c r="V228" s="87"/>
      <c r="W228" s="87"/>
      <c r="X228" s="87"/>
      <c r="Y228" s="87"/>
      <c r="Z228" s="87"/>
      <c r="AA228" s="87"/>
      <c r="AB228" s="87"/>
      <c r="AC228" s="87"/>
      <c r="AD228" s="87"/>
      <c r="AE228" s="87"/>
      <c r="AF228" s="87"/>
    </row>
    <row r="229" spans="3:32" ht="15.75" customHeight="1">
      <c r="C229" s="235"/>
      <c r="D229" s="236"/>
      <c r="E229" s="236"/>
      <c r="F229" s="236"/>
      <c r="G229" s="236"/>
      <c r="H229" s="236"/>
      <c r="I229" s="236"/>
      <c r="J229" s="236"/>
      <c r="K229" s="236"/>
      <c r="L229" s="242"/>
      <c r="M229" s="243"/>
      <c r="N229" s="243"/>
      <c r="O229" s="243"/>
      <c r="P229" s="243"/>
      <c r="Q229" s="243"/>
      <c r="R229" s="243"/>
      <c r="S229" s="243"/>
      <c r="T229" s="243"/>
      <c r="U229" s="244"/>
      <c r="V229" s="87"/>
      <c r="W229" s="87"/>
      <c r="X229" s="87"/>
      <c r="Y229" s="87"/>
      <c r="Z229" s="87"/>
      <c r="AA229" s="87"/>
      <c r="AB229" s="87"/>
      <c r="AC229" s="87"/>
      <c r="AD229" s="87"/>
      <c r="AE229" s="87"/>
      <c r="AF229" s="87"/>
    </row>
    <row r="230" spans="3:32" ht="15.75" customHeight="1">
      <c r="C230" s="235"/>
      <c r="D230" s="236"/>
      <c r="E230" s="236"/>
      <c r="F230" s="236"/>
      <c r="G230" s="236"/>
      <c r="H230" s="236"/>
      <c r="I230" s="236"/>
      <c r="J230" s="236"/>
      <c r="K230" s="236"/>
      <c r="L230" s="242"/>
      <c r="M230" s="243"/>
      <c r="N230" s="243"/>
      <c r="O230" s="243"/>
      <c r="P230" s="243"/>
      <c r="Q230" s="243"/>
      <c r="R230" s="243"/>
      <c r="S230" s="243"/>
      <c r="T230" s="243"/>
      <c r="U230" s="244"/>
      <c r="V230" s="87"/>
      <c r="W230" s="87"/>
      <c r="X230" s="87"/>
      <c r="Y230" s="87"/>
      <c r="Z230" s="87"/>
      <c r="AA230" s="87"/>
      <c r="AB230" s="87"/>
      <c r="AC230" s="87"/>
      <c r="AD230" s="87"/>
      <c r="AE230" s="87"/>
      <c r="AF230" s="87"/>
    </row>
    <row r="231" spans="3:32" ht="15.75" customHeight="1">
      <c r="C231" s="235"/>
      <c r="D231" s="236"/>
      <c r="E231" s="236"/>
      <c r="F231" s="236"/>
      <c r="G231" s="236"/>
      <c r="H231" s="236"/>
      <c r="I231" s="236"/>
      <c r="J231" s="236"/>
      <c r="K231" s="236"/>
      <c r="L231" s="242"/>
      <c r="M231" s="243"/>
      <c r="N231" s="243"/>
      <c r="O231" s="243"/>
      <c r="P231" s="243"/>
      <c r="Q231" s="243"/>
      <c r="R231" s="243"/>
      <c r="S231" s="243"/>
      <c r="T231" s="243"/>
      <c r="U231" s="244"/>
      <c r="V231" s="87"/>
      <c r="W231" s="87"/>
      <c r="X231" s="87"/>
      <c r="Y231" s="87"/>
      <c r="Z231" s="87"/>
      <c r="AA231" s="87"/>
      <c r="AB231" s="87"/>
      <c r="AC231" s="87"/>
      <c r="AD231" s="87"/>
      <c r="AE231" s="87"/>
      <c r="AF231" s="87"/>
    </row>
    <row r="232" spans="3:32" ht="15.75" customHeight="1">
      <c r="C232" s="235"/>
      <c r="D232" s="236"/>
      <c r="E232" s="236"/>
      <c r="F232" s="236"/>
      <c r="G232" s="236"/>
      <c r="H232" s="236"/>
      <c r="I232" s="236"/>
      <c r="J232" s="236"/>
      <c r="K232" s="236"/>
      <c r="L232" s="242"/>
      <c r="M232" s="243"/>
      <c r="N232" s="243"/>
      <c r="O232" s="243"/>
      <c r="P232" s="243"/>
      <c r="Q232" s="243"/>
      <c r="R232" s="243"/>
      <c r="S232" s="243"/>
      <c r="T232" s="243"/>
      <c r="U232" s="244"/>
      <c r="V232" s="87"/>
      <c r="W232" s="87"/>
      <c r="X232" s="87"/>
      <c r="Y232" s="87"/>
      <c r="Z232" s="87"/>
      <c r="AA232" s="87"/>
      <c r="AB232" s="87"/>
      <c r="AC232" s="87"/>
      <c r="AD232" s="87"/>
      <c r="AE232" s="87"/>
      <c r="AF232" s="87"/>
    </row>
    <row r="233" spans="3:32" ht="15.75" customHeight="1" thickBot="1">
      <c r="C233" s="237"/>
      <c r="D233" s="238"/>
      <c r="E233" s="238"/>
      <c r="F233" s="238"/>
      <c r="G233" s="238"/>
      <c r="H233" s="238"/>
      <c r="I233" s="238"/>
      <c r="J233" s="238"/>
      <c r="K233" s="238"/>
      <c r="L233" s="245"/>
      <c r="M233" s="246"/>
      <c r="N233" s="246"/>
      <c r="O233" s="246"/>
      <c r="P233" s="246"/>
      <c r="Q233" s="246"/>
      <c r="R233" s="246"/>
      <c r="S233" s="246"/>
      <c r="T233" s="246"/>
      <c r="U233" s="247"/>
      <c r="V233" s="87"/>
      <c r="W233" s="87"/>
      <c r="X233" s="87"/>
      <c r="Y233" s="87"/>
      <c r="Z233" s="87"/>
      <c r="AA233" s="87"/>
      <c r="AB233" s="87"/>
      <c r="AC233" s="87"/>
      <c r="AD233" s="87"/>
      <c r="AE233" s="87"/>
      <c r="AF233" s="87"/>
    </row>
    <row r="234" spans="3:32" ht="15.75" customHeight="1" thickBot="1">
      <c r="C234" s="89"/>
      <c r="D234" s="89"/>
      <c r="E234" s="89"/>
      <c r="F234" s="89"/>
      <c r="G234" s="89"/>
      <c r="H234" s="89"/>
      <c r="I234" s="89"/>
      <c r="J234" s="89"/>
      <c r="K234" s="89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</row>
    <row r="235" spans="3:32" ht="15.75" customHeight="1">
      <c r="C235" s="233" t="str">
        <f>IF(OR(L117="",N117=""),"9º Lugar",IF(L117&gt;N117,D117,O117))</f>
        <v>9º Lugar</v>
      </c>
      <c r="D235" s="234"/>
      <c r="E235" s="234"/>
      <c r="F235" s="234"/>
      <c r="G235" s="234"/>
      <c r="H235" s="234"/>
      <c r="I235" s="234"/>
      <c r="J235" s="234"/>
      <c r="K235" s="234"/>
      <c r="L235" s="239" t="s">
        <v>150</v>
      </c>
      <c r="M235" s="240"/>
      <c r="N235" s="240"/>
      <c r="O235" s="240"/>
      <c r="P235" s="240"/>
      <c r="Q235" s="240"/>
      <c r="R235" s="240"/>
      <c r="S235" s="240"/>
      <c r="T235" s="240"/>
      <c r="U235" s="241"/>
      <c r="V235" s="87"/>
      <c r="W235" s="87"/>
      <c r="X235" s="87"/>
      <c r="Y235" s="87"/>
      <c r="Z235" s="87"/>
      <c r="AA235" s="87"/>
      <c r="AB235" s="87"/>
      <c r="AC235" s="87"/>
      <c r="AD235" s="87"/>
      <c r="AE235" s="87"/>
      <c r="AF235" s="87"/>
    </row>
    <row r="236" spans="3:32" ht="15.75" customHeight="1">
      <c r="C236" s="235"/>
      <c r="D236" s="236"/>
      <c r="E236" s="236"/>
      <c r="F236" s="236"/>
      <c r="G236" s="236"/>
      <c r="H236" s="236"/>
      <c r="I236" s="236"/>
      <c r="J236" s="236"/>
      <c r="K236" s="236"/>
      <c r="L236" s="242"/>
      <c r="M236" s="243"/>
      <c r="N236" s="243"/>
      <c r="O236" s="243"/>
      <c r="P236" s="243"/>
      <c r="Q236" s="243"/>
      <c r="R236" s="243"/>
      <c r="S236" s="243"/>
      <c r="T236" s="243"/>
      <c r="U236" s="244"/>
      <c r="V236" s="87"/>
      <c r="W236" s="87"/>
      <c r="X236" s="87"/>
      <c r="Y236" s="87"/>
      <c r="Z236" s="87"/>
      <c r="AA236" s="87"/>
      <c r="AB236" s="87"/>
      <c r="AC236" s="87"/>
      <c r="AD236" s="87"/>
      <c r="AE236" s="87"/>
      <c r="AF236" s="87"/>
    </row>
    <row r="237" spans="3:32" ht="15.75" customHeight="1">
      <c r="C237" s="235"/>
      <c r="D237" s="236"/>
      <c r="E237" s="236"/>
      <c r="F237" s="236"/>
      <c r="G237" s="236"/>
      <c r="H237" s="236"/>
      <c r="I237" s="236"/>
      <c r="J237" s="236"/>
      <c r="K237" s="236"/>
      <c r="L237" s="242"/>
      <c r="M237" s="243"/>
      <c r="N237" s="243"/>
      <c r="O237" s="243"/>
      <c r="P237" s="243"/>
      <c r="Q237" s="243"/>
      <c r="R237" s="243"/>
      <c r="S237" s="243"/>
      <c r="T237" s="243"/>
      <c r="U237" s="244"/>
      <c r="V237" s="87"/>
      <c r="W237" s="87"/>
      <c r="X237" s="87"/>
      <c r="Y237" s="87"/>
      <c r="Z237" s="87"/>
      <c r="AA237" s="87"/>
      <c r="AB237" s="87"/>
      <c r="AC237" s="87"/>
      <c r="AD237" s="87"/>
      <c r="AE237" s="87"/>
      <c r="AF237" s="87"/>
    </row>
    <row r="238" spans="3:32" ht="15.75" customHeight="1">
      <c r="C238" s="235"/>
      <c r="D238" s="236"/>
      <c r="E238" s="236"/>
      <c r="F238" s="236"/>
      <c r="G238" s="236"/>
      <c r="H238" s="236"/>
      <c r="I238" s="236"/>
      <c r="J238" s="236"/>
      <c r="K238" s="236"/>
      <c r="L238" s="242"/>
      <c r="M238" s="243"/>
      <c r="N238" s="243"/>
      <c r="O238" s="243"/>
      <c r="P238" s="243"/>
      <c r="Q238" s="243"/>
      <c r="R238" s="243"/>
      <c r="S238" s="243"/>
      <c r="T238" s="243"/>
      <c r="U238" s="244"/>
      <c r="V238" s="87"/>
      <c r="W238" s="87"/>
      <c r="X238" s="87"/>
      <c r="Y238" s="87"/>
      <c r="Z238" s="87"/>
      <c r="AA238" s="87"/>
      <c r="AB238" s="87"/>
      <c r="AC238" s="87"/>
      <c r="AD238" s="87"/>
      <c r="AE238" s="87"/>
      <c r="AF238" s="87"/>
    </row>
    <row r="239" spans="3:32" ht="15.75" customHeight="1">
      <c r="C239" s="235"/>
      <c r="D239" s="236"/>
      <c r="E239" s="236"/>
      <c r="F239" s="236"/>
      <c r="G239" s="236"/>
      <c r="H239" s="236"/>
      <c r="I239" s="236"/>
      <c r="J239" s="236"/>
      <c r="K239" s="236"/>
      <c r="L239" s="242"/>
      <c r="M239" s="243"/>
      <c r="N239" s="243"/>
      <c r="O239" s="243"/>
      <c r="P239" s="243"/>
      <c r="Q239" s="243"/>
      <c r="R239" s="243"/>
      <c r="S239" s="243"/>
      <c r="T239" s="243"/>
      <c r="U239" s="244"/>
      <c r="V239" s="87"/>
      <c r="W239" s="87"/>
      <c r="X239" s="87"/>
      <c r="Y239" s="87"/>
      <c r="Z239" s="87"/>
      <c r="AA239" s="87"/>
      <c r="AB239" s="87"/>
      <c r="AC239" s="87"/>
      <c r="AD239" s="87"/>
      <c r="AE239" s="87"/>
      <c r="AF239" s="87"/>
    </row>
    <row r="240" spans="3:32" ht="15.75" customHeight="1">
      <c r="C240" s="235"/>
      <c r="D240" s="236"/>
      <c r="E240" s="236"/>
      <c r="F240" s="236"/>
      <c r="G240" s="236"/>
      <c r="H240" s="236"/>
      <c r="I240" s="236"/>
      <c r="J240" s="236"/>
      <c r="K240" s="236"/>
      <c r="L240" s="242"/>
      <c r="M240" s="243"/>
      <c r="N240" s="243"/>
      <c r="O240" s="243"/>
      <c r="P240" s="243"/>
      <c r="Q240" s="243"/>
      <c r="R240" s="243"/>
      <c r="S240" s="243"/>
      <c r="T240" s="243"/>
      <c r="U240" s="244"/>
      <c r="V240" s="87"/>
      <c r="W240" s="87"/>
      <c r="X240" s="87"/>
      <c r="Y240" s="87"/>
      <c r="Z240" s="87"/>
      <c r="AA240" s="87"/>
      <c r="AB240" s="87"/>
      <c r="AC240" s="87"/>
      <c r="AD240" s="87"/>
      <c r="AE240" s="87"/>
      <c r="AF240" s="87"/>
    </row>
    <row r="241" spans="3:32" ht="15.75" customHeight="1">
      <c r="C241" s="235"/>
      <c r="D241" s="236"/>
      <c r="E241" s="236"/>
      <c r="F241" s="236"/>
      <c r="G241" s="236"/>
      <c r="H241" s="236"/>
      <c r="I241" s="236"/>
      <c r="J241" s="236"/>
      <c r="K241" s="236"/>
      <c r="L241" s="242"/>
      <c r="M241" s="243"/>
      <c r="N241" s="243"/>
      <c r="O241" s="243"/>
      <c r="P241" s="243"/>
      <c r="Q241" s="243"/>
      <c r="R241" s="243"/>
      <c r="S241" s="243"/>
      <c r="T241" s="243"/>
      <c r="U241" s="244"/>
      <c r="V241" s="87"/>
      <c r="W241" s="87"/>
      <c r="X241" s="87"/>
      <c r="Y241" s="87"/>
      <c r="Z241" s="87"/>
      <c r="AA241" s="87"/>
      <c r="AB241" s="87"/>
      <c r="AC241" s="87"/>
      <c r="AD241" s="87"/>
      <c r="AE241" s="87"/>
      <c r="AF241" s="87"/>
    </row>
    <row r="242" spans="3:32" ht="15.75" customHeight="1">
      <c r="C242" s="235"/>
      <c r="D242" s="236"/>
      <c r="E242" s="236"/>
      <c r="F242" s="236"/>
      <c r="G242" s="236"/>
      <c r="H242" s="236"/>
      <c r="I242" s="236"/>
      <c r="J242" s="236"/>
      <c r="K242" s="236"/>
      <c r="L242" s="242"/>
      <c r="M242" s="243"/>
      <c r="N242" s="243"/>
      <c r="O242" s="243"/>
      <c r="P242" s="243"/>
      <c r="Q242" s="243"/>
      <c r="R242" s="243"/>
      <c r="S242" s="243"/>
      <c r="T242" s="243"/>
      <c r="U242" s="244"/>
      <c r="V242" s="87"/>
      <c r="W242" s="87"/>
      <c r="X242" s="87"/>
      <c r="Y242" s="87"/>
      <c r="Z242" s="87"/>
      <c r="AA242" s="87"/>
      <c r="AB242" s="87"/>
      <c r="AC242" s="87"/>
      <c r="AD242" s="87"/>
      <c r="AE242" s="87"/>
      <c r="AF242" s="87"/>
    </row>
    <row r="243" spans="3:32" ht="15.75" customHeight="1">
      <c r="C243" s="235"/>
      <c r="D243" s="236"/>
      <c r="E243" s="236"/>
      <c r="F243" s="236"/>
      <c r="G243" s="236"/>
      <c r="H243" s="236"/>
      <c r="I243" s="236"/>
      <c r="J243" s="236"/>
      <c r="K243" s="236"/>
      <c r="L243" s="242"/>
      <c r="M243" s="243"/>
      <c r="N243" s="243"/>
      <c r="O243" s="243"/>
      <c r="P243" s="243"/>
      <c r="Q243" s="243"/>
      <c r="R243" s="243"/>
      <c r="S243" s="243"/>
      <c r="T243" s="243"/>
      <c r="U243" s="244"/>
      <c r="V243" s="87"/>
      <c r="W243" s="87"/>
      <c r="X243" s="87"/>
      <c r="Y243" s="87"/>
      <c r="Z243" s="87"/>
      <c r="AA243" s="87"/>
      <c r="AB243" s="87"/>
      <c r="AC243" s="87"/>
      <c r="AD243" s="87"/>
      <c r="AE243" s="87"/>
      <c r="AF243" s="87"/>
    </row>
    <row r="244" spans="3:32" ht="15.75" customHeight="1" thickBot="1">
      <c r="C244" s="237"/>
      <c r="D244" s="238"/>
      <c r="E244" s="238"/>
      <c r="F244" s="238"/>
      <c r="G244" s="238"/>
      <c r="H244" s="238"/>
      <c r="I244" s="238"/>
      <c r="J244" s="238"/>
      <c r="K244" s="238"/>
      <c r="L244" s="245"/>
      <c r="M244" s="246"/>
      <c r="N244" s="246"/>
      <c r="O244" s="246"/>
      <c r="P244" s="246"/>
      <c r="Q244" s="246"/>
      <c r="R244" s="246"/>
      <c r="S244" s="246"/>
      <c r="T244" s="246"/>
      <c r="U244" s="247"/>
      <c r="V244" s="87"/>
      <c r="W244" s="87"/>
      <c r="X244" s="87"/>
      <c r="Y244" s="87"/>
      <c r="Z244" s="87"/>
      <c r="AA244" s="87"/>
      <c r="AB244" s="87"/>
      <c r="AC244" s="87"/>
      <c r="AD244" s="87"/>
      <c r="AE244" s="87"/>
      <c r="AF244" s="87"/>
    </row>
    <row r="245" spans="3:32" ht="15.75" customHeight="1" thickBot="1">
      <c r="C245" s="89"/>
      <c r="D245" s="89"/>
      <c r="E245" s="89"/>
      <c r="F245" s="89"/>
      <c r="G245" s="89"/>
      <c r="H245" s="89"/>
      <c r="I245" s="89"/>
      <c r="J245" s="89"/>
      <c r="K245" s="89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</row>
    <row r="246" spans="3:32" ht="15.75" customHeight="1">
      <c r="C246" s="233" t="str">
        <f>IF(OR(L117="",N117=""),"10º Lugar",IF(L117&lt;N117,D117,O117))</f>
        <v>10º Lugar</v>
      </c>
      <c r="D246" s="234"/>
      <c r="E246" s="234"/>
      <c r="F246" s="234"/>
      <c r="G246" s="234"/>
      <c r="H246" s="234"/>
      <c r="I246" s="234"/>
      <c r="J246" s="234"/>
      <c r="K246" s="234"/>
      <c r="L246" s="239" t="s">
        <v>151</v>
      </c>
      <c r="M246" s="240"/>
      <c r="N246" s="240"/>
      <c r="O246" s="240"/>
      <c r="P246" s="240"/>
      <c r="Q246" s="240"/>
      <c r="R246" s="240"/>
      <c r="S246" s="240"/>
      <c r="T246" s="240"/>
      <c r="U246" s="241"/>
      <c r="V246" s="87"/>
      <c r="W246" s="87"/>
      <c r="X246" s="87"/>
      <c r="Y246" s="87"/>
      <c r="Z246" s="87"/>
      <c r="AA246" s="87"/>
      <c r="AB246" s="87"/>
      <c r="AC246" s="87"/>
      <c r="AD246" s="87"/>
      <c r="AE246" s="87"/>
      <c r="AF246" s="87"/>
    </row>
    <row r="247" spans="3:32" ht="15.75" customHeight="1">
      <c r="C247" s="235"/>
      <c r="D247" s="236"/>
      <c r="E247" s="236"/>
      <c r="F247" s="236"/>
      <c r="G247" s="236"/>
      <c r="H247" s="236"/>
      <c r="I247" s="236"/>
      <c r="J247" s="236"/>
      <c r="K247" s="236"/>
      <c r="L247" s="242"/>
      <c r="M247" s="243"/>
      <c r="N247" s="243"/>
      <c r="O247" s="243"/>
      <c r="P247" s="243"/>
      <c r="Q247" s="243"/>
      <c r="R247" s="243"/>
      <c r="S247" s="243"/>
      <c r="T247" s="243"/>
      <c r="U247" s="244"/>
      <c r="V247" s="87"/>
      <c r="W247" s="87"/>
      <c r="X247" s="87"/>
      <c r="Y247" s="87"/>
      <c r="Z247" s="87"/>
      <c r="AA247" s="87"/>
      <c r="AB247" s="87"/>
      <c r="AC247" s="87"/>
      <c r="AD247" s="87"/>
      <c r="AE247" s="87"/>
      <c r="AF247" s="87"/>
    </row>
    <row r="248" spans="3:32" ht="15.75" customHeight="1">
      <c r="C248" s="235"/>
      <c r="D248" s="236"/>
      <c r="E248" s="236"/>
      <c r="F248" s="236"/>
      <c r="G248" s="236"/>
      <c r="H248" s="236"/>
      <c r="I248" s="236"/>
      <c r="J248" s="236"/>
      <c r="K248" s="236"/>
      <c r="L248" s="242"/>
      <c r="M248" s="243"/>
      <c r="N248" s="243"/>
      <c r="O248" s="243"/>
      <c r="P248" s="243"/>
      <c r="Q248" s="243"/>
      <c r="R248" s="243"/>
      <c r="S248" s="243"/>
      <c r="T248" s="243"/>
      <c r="U248" s="244"/>
      <c r="V248" s="87"/>
      <c r="W248" s="87"/>
      <c r="X248" s="87"/>
      <c r="Y248" s="87"/>
      <c r="Z248" s="87"/>
      <c r="AA248" s="87"/>
      <c r="AB248" s="87"/>
      <c r="AC248" s="87"/>
      <c r="AD248" s="87"/>
      <c r="AE248" s="87"/>
      <c r="AF248" s="87"/>
    </row>
    <row r="249" spans="3:32" ht="15.75" customHeight="1">
      <c r="C249" s="235"/>
      <c r="D249" s="236"/>
      <c r="E249" s="236"/>
      <c r="F249" s="236"/>
      <c r="G249" s="236"/>
      <c r="H249" s="236"/>
      <c r="I249" s="236"/>
      <c r="J249" s="236"/>
      <c r="K249" s="236"/>
      <c r="L249" s="242"/>
      <c r="M249" s="243"/>
      <c r="N249" s="243"/>
      <c r="O249" s="243"/>
      <c r="P249" s="243"/>
      <c r="Q249" s="243"/>
      <c r="R249" s="243"/>
      <c r="S249" s="243"/>
      <c r="T249" s="243"/>
      <c r="U249" s="244"/>
      <c r="V249" s="87"/>
      <c r="W249" s="87"/>
      <c r="X249" s="87"/>
      <c r="Y249" s="87"/>
      <c r="Z249" s="87"/>
      <c r="AA249" s="87"/>
      <c r="AB249" s="87"/>
      <c r="AC249" s="87"/>
      <c r="AD249" s="87"/>
      <c r="AE249" s="87"/>
      <c r="AF249" s="87"/>
    </row>
    <row r="250" spans="3:32" ht="15.75" customHeight="1">
      <c r="C250" s="235"/>
      <c r="D250" s="236"/>
      <c r="E250" s="236"/>
      <c r="F250" s="236"/>
      <c r="G250" s="236"/>
      <c r="H250" s="236"/>
      <c r="I250" s="236"/>
      <c r="J250" s="236"/>
      <c r="K250" s="236"/>
      <c r="L250" s="242"/>
      <c r="M250" s="243"/>
      <c r="N250" s="243"/>
      <c r="O250" s="243"/>
      <c r="P250" s="243"/>
      <c r="Q250" s="243"/>
      <c r="R250" s="243"/>
      <c r="S250" s="243"/>
      <c r="T250" s="243"/>
      <c r="U250" s="244"/>
      <c r="V250" s="87"/>
      <c r="W250" s="87"/>
      <c r="X250" s="87"/>
      <c r="Y250" s="87"/>
      <c r="Z250" s="87"/>
      <c r="AA250" s="87"/>
      <c r="AB250" s="87"/>
      <c r="AC250" s="87"/>
      <c r="AD250" s="87"/>
      <c r="AE250" s="87"/>
      <c r="AF250" s="87"/>
    </row>
    <row r="251" spans="3:32" ht="15.75" customHeight="1">
      <c r="C251" s="235"/>
      <c r="D251" s="236"/>
      <c r="E251" s="236"/>
      <c r="F251" s="236"/>
      <c r="G251" s="236"/>
      <c r="H251" s="236"/>
      <c r="I251" s="236"/>
      <c r="J251" s="236"/>
      <c r="K251" s="236"/>
      <c r="L251" s="242"/>
      <c r="M251" s="243"/>
      <c r="N251" s="243"/>
      <c r="O251" s="243"/>
      <c r="P251" s="243"/>
      <c r="Q251" s="243"/>
      <c r="R251" s="243"/>
      <c r="S251" s="243"/>
      <c r="T251" s="243"/>
      <c r="U251" s="244"/>
      <c r="V251" s="87"/>
      <c r="W251" s="87"/>
      <c r="X251" s="87"/>
      <c r="Y251" s="87"/>
      <c r="Z251" s="87"/>
      <c r="AA251" s="87"/>
      <c r="AB251" s="87"/>
      <c r="AC251" s="87"/>
      <c r="AD251" s="87"/>
      <c r="AE251" s="87"/>
      <c r="AF251" s="87"/>
    </row>
    <row r="252" spans="3:32" ht="15.75" customHeight="1">
      <c r="C252" s="235"/>
      <c r="D252" s="236"/>
      <c r="E252" s="236"/>
      <c r="F252" s="236"/>
      <c r="G252" s="236"/>
      <c r="H252" s="236"/>
      <c r="I252" s="236"/>
      <c r="J252" s="236"/>
      <c r="K252" s="236"/>
      <c r="L252" s="242"/>
      <c r="M252" s="243"/>
      <c r="N252" s="243"/>
      <c r="O252" s="243"/>
      <c r="P252" s="243"/>
      <c r="Q252" s="243"/>
      <c r="R252" s="243"/>
      <c r="S252" s="243"/>
      <c r="T252" s="243"/>
      <c r="U252" s="244"/>
      <c r="V252" s="87"/>
      <c r="W252" s="87"/>
      <c r="X252" s="87"/>
      <c r="Y252" s="87"/>
      <c r="Z252" s="87"/>
      <c r="AA252" s="87"/>
      <c r="AB252" s="87"/>
      <c r="AC252" s="87"/>
      <c r="AD252" s="87"/>
      <c r="AE252" s="87"/>
      <c r="AF252" s="87"/>
    </row>
    <row r="253" spans="3:32" ht="15.75" customHeight="1">
      <c r="C253" s="235"/>
      <c r="D253" s="236"/>
      <c r="E253" s="236"/>
      <c r="F253" s="236"/>
      <c r="G253" s="236"/>
      <c r="H253" s="236"/>
      <c r="I253" s="236"/>
      <c r="J253" s="236"/>
      <c r="K253" s="236"/>
      <c r="L253" s="242"/>
      <c r="M253" s="243"/>
      <c r="N253" s="243"/>
      <c r="O253" s="243"/>
      <c r="P253" s="243"/>
      <c r="Q253" s="243"/>
      <c r="R253" s="243"/>
      <c r="S253" s="243"/>
      <c r="T253" s="243"/>
      <c r="U253" s="244"/>
      <c r="V253" s="87"/>
      <c r="W253" s="87"/>
      <c r="X253" s="87"/>
      <c r="Y253" s="87"/>
      <c r="Z253" s="87"/>
      <c r="AA253" s="87"/>
      <c r="AB253" s="87"/>
      <c r="AC253" s="87"/>
      <c r="AD253" s="87"/>
      <c r="AE253" s="87"/>
      <c r="AF253" s="87"/>
    </row>
    <row r="254" spans="3:32" ht="15.75" customHeight="1">
      <c r="C254" s="235"/>
      <c r="D254" s="236"/>
      <c r="E254" s="236"/>
      <c r="F254" s="236"/>
      <c r="G254" s="236"/>
      <c r="H254" s="236"/>
      <c r="I254" s="236"/>
      <c r="J254" s="236"/>
      <c r="K254" s="236"/>
      <c r="L254" s="242"/>
      <c r="M254" s="243"/>
      <c r="N254" s="243"/>
      <c r="O254" s="243"/>
      <c r="P254" s="243"/>
      <c r="Q254" s="243"/>
      <c r="R254" s="243"/>
      <c r="S254" s="243"/>
      <c r="T254" s="243"/>
      <c r="U254" s="244"/>
      <c r="V254" s="87"/>
      <c r="W254" s="87"/>
      <c r="X254" s="87"/>
      <c r="Y254" s="87"/>
      <c r="Z254" s="87"/>
      <c r="AA254" s="87"/>
      <c r="AB254" s="87"/>
      <c r="AC254" s="87"/>
      <c r="AD254" s="87"/>
      <c r="AE254" s="87"/>
      <c r="AF254" s="87"/>
    </row>
    <row r="255" spans="3:32" ht="15.75" customHeight="1" thickBot="1">
      <c r="C255" s="237"/>
      <c r="D255" s="238"/>
      <c r="E255" s="238"/>
      <c r="F255" s="238"/>
      <c r="G255" s="238"/>
      <c r="H255" s="238"/>
      <c r="I255" s="238"/>
      <c r="J255" s="238"/>
      <c r="K255" s="238"/>
      <c r="L255" s="245"/>
      <c r="M255" s="246"/>
      <c r="N255" s="246"/>
      <c r="O255" s="246"/>
      <c r="P255" s="246"/>
      <c r="Q255" s="246"/>
      <c r="R255" s="246"/>
      <c r="S255" s="246"/>
      <c r="T255" s="246"/>
      <c r="U255" s="247"/>
      <c r="V255" s="87"/>
      <c r="W255" s="87"/>
      <c r="X255" s="87"/>
      <c r="Y255" s="87"/>
      <c r="Z255" s="87"/>
      <c r="AA255" s="87"/>
      <c r="AB255" s="87"/>
      <c r="AC255" s="87"/>
      <c r="AD255" s="87"/>
      <c r="AE255" s="87"/>
      <c r="AF255" s="87"/>
    </row>
    <row r="256" spans="3:32" ht="15.75" customHeight="1" thickBot="1">
      <c r="C256" s="89"/>
      <c r="D256" s="89"/>
      <c r="E256" s="89"/>
      <c r="F256" s="89"/>
      <c r="G256" s="89"/>
      <c r="H256" s="89"/>
      <c r="I256" s="89"/>
      <c r="J256" s="89"/>
      <c r="K256" s="89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  <c r="Z256" s="88"/>
      <c r="AA256" s="88"/>
      <c r="AB256" s="88"/>
      <c r="AC256" s="88"/>
      <c r="AD256" s="88"/>
      <c r="AE256" s="88"/>
      <c r="AF256" s="88"/>
    </row>
    <row r="257" spans="3:32" ht="15.75" customHeight="1">
      <c r="C257" s="233" t="str">
        <f>IF(OR(L110="",N110=""),"11º Lugar",IF(L110&gt;N110,D110,O110))</f>
        <v>11º Lugar</v>
      </c>
      <c r="D257" s="234"/>
      <c r="E257" s="234"/>
      <c r="F257" s="234"/>
      <c r="G257" s="234"/>
      <c r="H257" s="234"/>
      <c r="I257" s="234"/>
      <c r="J257" s="234"/>
      <c r="K257" s="234"/>
      <c r="L257" s="239" t="s">
        <v>152</v>
      </c>
      <c r="M257" s="240"/>
      <c r="N257" s="240"/>
      <c r="O257" s="240"/>
      <c r="P257" s="240"/>
      <c r="Q257" s="240"/>
      <c r="R257" s="240"/>
      <c r="S257" s="240"/>
      <c r="T257" s="240"/>
      <c r="U257" s="241"/>
      <c r="V257" s="87"/>
      <c r="W257" s="87"/>
      <c r="X257" s="87"/>
      <c r="Y257" s="87"/>
      <c r="Z257" s="87"/>
      <c r="AA257" s="87"/>
      <c r="AB257" s="87"/>
      <c r="AC257" s="87"/>
      <c r="AD257" s="87"/>
      <c r="AE257" s="87"/>
      <c r="AF257" s="87"/>
    </row>
    <row r="258" spans="3:32" ht="15.75" customHeight="1">
      <c r="C258" s="235"/>
      <c r="D258" s="236"/>
      <c r="E258" s="236"/>
      <c r="F258" s="236"/>
      <c r="G258" s="236"/>
      <c r="H258" s="236"/>
      <c r="I258" s="236"/>
      <c r="J258" s="236"/>
      <c r="K258" s="236"/>
      <c r="L258" s="242"/>
      <c r="M258" s="243"/>
      <c r="N258" s="243"/>
      <c r="O258" s="243"/>
      <c r="P258" s="243"/>
      <c r="Q258" s="243"/>
      <c r="R258" s="243"/>
      <c r="S258" s="243"/>
      <c r="T258" s="243"/>
      <c r="U258" s="244"/>
      <c r="V258" s="87"/>
      <c r="W258" s="87"/>
      <c r="X258" s="87"/>
      <c r="Y258" s="87"/>
      <c r="Z258" s="87"/>
      <c r="AA258" s="87"/>
      <c r="AB258" s="87"/>
      <c r="AC258" s="87"/>
      <c r="AD258" s="87"/>
      <c r="AE258" s="87"/>
      <c r="AF258" s="87"/>
    </row>
    <row r="259" spans="3:32" ht="15.75" customHeight="1">
      <c r="C259" s="235"/>
      <c r="D259" s="236"/>
      <c r="E259" s="236"/>
      <c r="F259" s="236"/>
      <c r="G259" s="236"/>
      <c r="H259" s="236"/>
      <c r="I259" s="236"/>
      <c r="J259" s="236"/>
      <c r="K259" s="236"/>
      <c r="L259" s="242"/>
      <c r="M259" s="243"/>
      <c r="N259" s="243"/>
      <c r="O259" s="243"/>
      <c r="P259" s="243"/>
      <c r="Q259" s="243"/>
      <c r="R259" s="243"/>
      <c r="S259" s="243"/>
      <c r="T259" s="243"/>
      <c r="U259" s="244"/>
      <c r="V259" s="87"/>
      <c r="W259" s="87"/>
      <c r="X259" s="87"/>
      <c r="Y259" s="87"/>
      <c r="Z259" s="87"/>
      <c r="AA259" s="87"/>
      <c r="AB259" s="87"/>
      <c r="AC259" s="87"/>
      <c r="AD259" s="87"/>
      <c r="AE259" s="87"/>
      <c r="AF259" s="87"/>
    </row>
    <row r="260" spans="3:32" ht="15.75" customHeight="1">
      <c r="C260" s="235"/>
      <c r="D260" s="236"/>
      <c r="E260" s="236"/>
      <c r="F260" s="236"/>
      <c r="G260" s="236"/>
      <c r="H260" s="236"/>
      <c r="I260" s="236"/>
      <c r="J260" s="236"/>
      <c r="K260" s="236"/>
      <c r="L260" s="242"/>
      <c r="M260" s="243"/>
      <c r="N260" s="243"/>
      <c r="O260" s="243"/>
      <c r="P260" s="243"/>
      <c r="Q260" s="243"/>
      <c r="R260" s="243"/>
      <c r="S260" s="243"/>
      <c r="T260" s="243"/>
      <c r="U260" s="244"/>
      <c r="V260" s="87"/>
      <c r="W260" s="87"/>
      <c r="X260" s="87"/>
      <c r="Y260" s="87"/>
      <c r="Z260" s="87"/>
      <c r="AA260" s="87"/>
      <c r="AB260" s="87"/>
      <c r="AC260" s="87"/>
      <c r="AD260" s="87"/>
      <c r="AE260" s="87"/>
      <c r="AF260" s="87"/>
    </row>
    <row r="261" spans="3:32" ht="15.75" customHeight="1">
      <c r="C261" s="235"/>
      <c r="D261" s="236"/>
      <c r="E261" s="236"/>
      <c r="F261" s="236"/>
      <c r="G261" s="236"/>
      <c r="H261" s="236"/>
      <c r="I261" s="236"/>
      <c r="J261" s="236"/>
      <c r="K261" s="236"/>
      <c r="L261" s="242"/>
      <c r="M261" s="243"/>
      <c r="N261" s="243"/>
      <c r="O261" s="243"/>
      <c r="P261" s="243"/>
      <c r="Q261" s="243"/>
      <c r="R261" s="243"/>
      <c r="S261" s="243"/>
      <c r="T261" s="243"/>
      <c r="U261" s="244"/>
      <c r="V261" s="87"/>
      <c r="W261" s="87"/>
      <c r="X261" s="87"/>
      <c r="Y261" s="87"/>
      <c r="Z261" s="87"/>
      <c r="AA261" s="87"/>
      <c r="AB261" s="87"/>
      <c r="AC261" s="87"/>
      <c r="AD261" s="87"/>
      <c r="AE261" s="87"/>
      <c r="AF261" s="87"/>
    </row>
    <row r="262" spans="3:32" ht="15.75" customHeight="1">
      <c r="C262" s="235"/>
      <c r="D262" s="236"/>
      <c r="E262" s="236"/>
      <c r="F262" s="236"/>
      <c r="G262" s="236"/>
      <c r="H262" s="236"/>
      <c r="I262" s="236"/>
      <c r="J262" s="236"/>
      <c r="K262" s="236"/>
      <c r="L262" s="242"/>
      <c r="M262" s="243"/>
      <c r="N262" s="243"/>
      <c r="O262" s="243"/>
      <c r="P262" s="243"/>
      <c r="Q262" s="243"/>
      <c r="R262" s="243"/>
      <c r="S262" s="243"/>
      <c r="T262" s="243"/>
      <c r="U262" s="244"/>
      <c r="V262" s="87"/>
      <c r="W262" s="87"/>
      <c r="X262" s="87"/>
      <c r="Y262" s="87"/>
      <c r="Z262" s="87"/>
      <c r="AA262" s="87"/>
      <c r="AB262" s="87"/>
      <c r="AC262" s="87"/>
      <c r="AD262" s="87"/>
      <c r="AE262" s="87"/>
      <c r="AF262" s="87"/>
    </row>
    <row r="263" spans="3:32" ht="15.75" customHeight="1">
      <c r="C263" s="235"/>
      <c r="D263" s="236"/>
      <c r="E263" s="236"/>
      <c r="F263" s="236"/>
      <c r="G263" s="236"/>
      <c r="H263" s="236"/>
      <c r="I263" s="236"/>
      <c r="J263" s="236"/>
      <c r="K263" s="236"/>
      <c r="L263" s="242"/>
      <c r="M263" s="243"/>
      <c r="N263" s="243"/>
      <c r="O263" s="243"/>
      <c r="P263" s="243"/>
      <c r="Q263" s="243"/>
      <c r="R263" s="243"/>
      <c r="S263" s="243"/>
      <c r="T263" s="243"/>
      <c r="U263" s="244"/>
      <c r="V263" s="87"/>
      <c r="W263" s="87"/>
      <c r="X263" s="87"/>
      <c r="Y263" s="87"/>
      <c r="Z263" s="87"/>
      <c r="AA263" s="87"/>
      <c r="AB263" s="87"/>
      <c r="AC263" s="87"/>
      <c r="AD263" s="87"/>
      <c r="AE263" s="87"/>
      <c r="AF263" s="87"/>
    </row>
    <row r="264" spans="3:32" ht="15.75" customHeight="1">
      <c r="C264" s="235"/>
      <c r="D264" s="236"/>
      <c r="E264" s="236"/>
      <c r="F264" s="236"/>
      <c r="G264" s="236"/>
      <c r="H264" s="236"/>
      <c r="I264" s="236"/>
      <c r="J264" s="236"/>
      <c r="K264" s="236"/>
      <c r="L264" s="242"/>
      <c r="M264" s="243"/>
      <c r="N264" s="243"/>
      <c r="O264" s="243"/>
      <c r="P264" s="243"/>
      <c r="Q264" s="243"/>
      <c r="R264" s="243"/>
      <c r="S264" s="243"/>
      <c r="T264" s="243"/>
      <c r="U264" s="244"/>
      <c r="V264" s="87"/>
      <c r="W264" s="87"/>
      <c r="X264" s="87"/>
      <c r="Y264" s="87"/>
      <c r="Z264" s="87"/>
      <c r="AA264" s="87"/>
      <c r="AB264" s="87"/>
      <c r="AC264" s="87"/>
      <c r="AD264" s="87"/>
      <c r="AE264" s="87"/>
      <c r="AF264" s="87"/>
    </row>
    <row r="265" spans="3:32" ht="15.75" customHeight="1">
      <c r="C265" s="235"/>
      <c r="D265" s="236"/>
      <c r="E265" s="236"/>
      <c r="F265" s="236"/>
      <c r="G265" s="236"/>
      <c r="H265" s="236"/>
      <c r="I265" s="236"/>
      <c r="J265" s="236"/>
      <c r="K265" s="236"/>
      <c r="L265" s="242"/>
      <c r="M265" s="243"/>
      <c r="N265" s="243"/>
      <c r="O265" s="243"/>
      <c r="P265" s="243"/>
      <c r="Q265" s="243"/>
      <c r="R265" s="243"/>
      <c r="S265" s="243"/>
      <c r="T265" s="243"/>
      <c r="U265" s="244"/>
      <c r="V265" s="87"/>
      <c r="W265" s="87"/>
      <c r="X265" s="87"/>
      <c r="Y265" s="87"/>
      <c r="Z265" s="87"/>
      <c r="AA265" s="87"/>
      <c r="AB265" s="87"/>
      <c r="AC265" s="87"/>
      <c r="AD265" s="87"/>
      <c r="AE265" s="87"/>
      <c r="AF265" s="87"/>
    </row>
    <row r="266" spans="3:32" ht="15.75" customHeight="1" thickBot="1">
      <c r="C266" s="237"/>
      <c r="D266" s="238"/>
      <c r="E266" s="238"/>
      <c r="F266" s="238"/>
      <c r="G266" s="238"/>
      <c r="H266" s="238"/>
      <c r="I266" s="238"/>
      <c r="J266" s="238"/>
      <c r="K266" s="238"/>
      <c r="L266" s="245"/>
      <c r="M266" s="246"/>
      <c r="N266" s="246"/>
      <c r="O266" s="246"/>
      <c r="P266" s="246"/>
      <c r="Q266" s="246"/>
      <c r="R266" s="246"/>
      <c r="S266" s="246"/>
      <c r="T266" s="246"/>
      <c r="U266" s="247"/>
      <c r="V266" s="87"/>
      <c r="W266" s="87"/>
      <c r="X266" s="87"/>
      <c r="Y266" s="87"/>
      <c r="Z266" s="87"/>
      <c r="AA266" s="87"/>
      <c r="AB266" s="87"/>
      <c r="AC266" s="87"/>
      <c r="AD266" s="87"/>
      <c r="AE266" s="87"/>
      <c r="AF266" s="87"/>
    </row>
    <row r="267" spans="3:32" ht="15.75" customHeight="1" thickBot="1">
      <c r="C267" s="89"/>
      <c r="D267" s="89"/>
      <c r="E267" s="89"/>
      <c r="F267" s="89"/>
      <c r="G267" s="89"/>
      <c r="H267" s="89"/>
      <c r="I267" s="89"/>
      <c r="J267" s="89"/>
      <c r="K267" s="89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  <c r="AA267" s="88"/>
      <c r="AB267" s="88"/>
      <c r="AC267" s="88"/>
      <c r="AD267" s="88"/>
      <c r="AE267" s="88"/>
      <c r="AF267" s="88"/>
    </row>
    <row r="268" spans="3:32" ht="15.75" customHeight="1">
      <c r="C268" s="233" t="str">
        <f>IF(OR(L110="",N110=""),"12º Lugar",IF(L110&lt;N110,D110,O110))</f>
        <v>12º Lugar</v>
      </c>
      <c r="D268" s="234"/>
      <c r="E268" s="234"/>
      <c r="F268" s="234"/>
      <c r="G268" s="234"/>
      <c r="H268" s="234"/>
      <c r="I268" s="234"/>
      <c r="J268" s="234"/>
      <c r="K268" s="234"/>
      <c r="L268" s="239" t="s">
        <v>153</v>
      </c>
      <c r="M268" s="240"/>
      <c r="N268" s="240"/>
      <c r="O268" s="240"/>
      <c r="P268" s="240"/>
      <c r="Q268" s="240"/>
      <c r="R268" s="240"/>
      <c r="S268" s="240"/>
      <c r="T268" s="240"/>
      <c r="U268" s="241"/>
      <c r="V268" s="87"/>
      <c r="W268" s="87"/>
      <c r="X268" s="87"/>
      <c r="Y268" s="87"/>
      <c r="Z268" s="87"/>
      <c r="AA268" s="87"/>
      <c r="AB268" s="87"/>
      <c r="AC268" s="87"/>
      <c r="AD268" s="87"/>
      <c r="AE268" s="87"/>
      <c r="AF268" s="87"/>
    </row>
    <row r="269" spans="3:32" ht="15.75" customHeight="1">
      <c r="C269" s="235"/>
      <c r="D269" s="236"/>
      <c r="E269" s="236"/>
      <c r="F269" s="236"/>
      <c r="G269" s="236"/>
      <c r="H269" s="236"/>
      <c r="I269" s="236"/>
      <c r="J269" s="236"/>
      <c r="K269" s="236"/>
      <c r="L269" s="242"/>
      <c r="M269" s="243"/>
      <c r="N269" s="243"/>
      <c r="O269" s="243"/>
      <c r="P269" s="243"/>
      <c r="Q269" s="243"/>
      <c r="R269" s="243"/>
      <c r="S269" s="243"/>
      <c r="T269" s="243"/>
      <c r="U269" s="244"/>
      <c r="V269" s="87"/>
      <c r="W269" s="87"/>
      <c r="X269" s="87"/>
      <c r="Y269" s="87"/>
      <c r="Z269" s="87"/>
      <c r="AA269" s="87"/>
      <c r="AB269" s="87"/>
      <c r="AC269" s="87"/>
      <c r="AD269" s="87"/>
      <c r="AE269" s="87"/>
      <c r="AF269" s="87"/>
    </row>
    <row r="270" spans="3:32" ht="15.75" customHeight="1">
      <c r="C270" s="235"/>
      <c r="D270" s="236"/>
      <c r="E270" s="236"/>
      <c r="F270" s="236"/>
      <c r="G270" s="236"/>
      <c r="H270" s="236"/>
      <c r="I270" s="236"/>
      <c r="J270" s="236"/>
      <c r="K270" s="236"/>
      <c r="L270" s="242"/>
      <c r="M270" s="243"/>
      <c r="N270" s="243"/>
      <c r="O270" s="243"/>
      <c r="P270" s="243"/>
      <c r="Q270" s="243"/>
      <c r="R270" s="243"/>
      <c r="S270" s="243"/>
      <c r="T270" s="243"/>
      <c r="U270" s="244"/>
      <c r="V270" s="87"/>
      <c r="W270" s="87"/>
      <c r="X270" s="87"/>
      <c r="Y270" s="87"/>
      <c r="Z270" s="87"/>
      <c r="AA270" s="87"/>
      <c r="AB270" s="87"/>
      <c r="AC270" s="87"/>
      <c r="AD270" s="87"/>
      <c r="AE270" s="87"/>
      <c r="AF270" s="87"/>
    </row>
    <row r="271" spans="3:32" ht="15.75" customHeight="1">
      <c r="C271" s="235"/>
      <c r="D271" s="236"/>
      <c r="E271" s="236"/>
      <c r="F271" s="236"/>
      <c r="G271" s="236"/>
      <c r="H271" s="236"/>
      <c r="I271" s="236"/>
      <c r="J271" s="236"/>
      <c r="K271" s="236"/>
      <c r="L271" s="242"/>
      <c r="M271" s="243"/>
      <c r="N271" s="243"/>
      <c r="O271" s="243"/>
      <c r="P271" s="243"/>
      <c r="Q271" s="243"/>
      <c r="R271" s="243"/>
      <c r="S271" s="243"/>
      <c r="T271" s="243"/>
      <c r="U271" s="244"/>
      <c r="V271" s="87"/>
      <c r="W271" s="87"/>
      <c r="X271" s="87"/>
      <c r="Y271" s="87"/>
      <c r="Z271" s="87"/>
      <c r="AA271" s="87"/>
      <c r="AB271" s="87"/>
      <c r="AC271" s="87"/>
      <c r="AD271" s="87"/>
      <c r="AE271" s="87"/>
      <c r="AF271" s="87"/>
    </row>
    <row r="272" spans="3:32" ht="15.75" customHeight="1">
      <c r="C272" s="235"/>
      <c r="D272" s="236"/>
      <c r="E272" s="236"/>
      <c r="F272" s="236"/>
      <c r="G272" s="236"/>
      <c r="H272" s="236"/>
      <c r="I272" s="236"/>
      <c r="J272" s="236"/>
      <c r="K272" s="236"/>
      <c r="L272" s="242"/>
      <c r="M272" s="243"/>
      <c r="N272" s="243"/>
      <c r="O272" s="243"/>
      <c r="P272" s="243"/>
      <c r="Q272" s="243"/>
      <c r="R272" s="243"/>
      <c r="S272" s="243"/>
      <c r="T272" s="243"/>
      <c r="U272" s="244"/>
      <c r="V272" s="87"/>
      <c r="W272" s="87"/>
      <c r="X272" s="87"/>
      <c r="Y272" s="87"/>
      <c r="Z272" s="87"/>
      <c r="AA272" s="87"/>
      <c r="AB272" s="87"/>
      <c r="AC272" s="87"/>
      <c r="AD272" s="87"/>
      <c r="AE272" s="87"/>
      <c r="AF272" s="87"/>
    </row>
    <row r="273" spans="3:32" ht="15.75" customHeight="1">
      <c r="C273" s="235"/>
      <c r="D273" s="236"/>
      <c r="E273" s="236"/>
      <c r="F273" s="236"/>
      <c r="G273" s="236"/>
      <c r="H273" s="236"/>
      <c r="I273" s="236"/>
      <c r="J273" s="236"/>
      <c r="K273" s="236"/>
      <c r="L273" s="242"/>
      <c r="M273" s="243"/>
      <c r="N273" s="243"/>
      <c r="O273" s="243"/>
      <c r="P273" s="243"/>
      <c r="Q273" s="243"/>
      <c r="R273" s="243"/>
      <c r="S273" s="243"/>
      <c r="T273" s="243"/>
      <c r="U273" s="244"/>
      <c r="V273" s="87"/>
      <c r="W273" s="87"/>
      <c r="X273" s="87"/>
      <c r="Y273" s="87"/>
      <c r="Z273" s="87"/>
      <c r="AA273" s="87"/>
      <c r="AB273" s="87"/>
      <c r="AC273" s="87"/>
      <c r="AD273" s="87"/>
      <c r="AE273" s="87"/>
      <c r="AF273" s="87"/>
    </row>
    <row r="274" spans="3:32" ht="15.75" customHeight="1">
      <c r="C274" s="235"/>
      <c r="D274" s="236"/>
      <c r="E274" s="236"/>
      <c r="F274" s="236"/>
      <c r="G274" s="236"/>
      <c r="H274" s="236"/>
      <c r="I274" s="236"/>
      <c r="J274" s="236"/>
      <c r="K274" s="236"/>
      <c r="L274" s="242"/>
      <c r="M274" s="243"/>
      <c r="N274" s="243"/>
      <c r="O274" s="243"/>
      <c r="P274" s="243"/>
      <c r="Q274" s="243"/>
      <c r="R274" s="243"/>
      <c r="S274" s="243"/>
      <c r="T274" s="243"/>
      <c r="U274" s="244"/>
      <c r="V274" s="87"/>
      <c r="W274" s="87"/>
      <c r="X274" s="87"/>
      <c r="Y274" s="87"/>
      <c r="Z274" s="87"/>
      <c r="AA274" s="87"/>
      <c r="AB274" s="87"/>
      <c r="AC274" s="87"/>
      <c r="AD274" s="87"/>
      <c r="AE274" s="87"/>
      <c r="AF274" s="87"/>
    </row>
    <row r="275" spans="3:32" ht="15.75" customHeight="1">
      <c r="C275" s="235"/>
      <c r="D275" s="236"/>
      <c r="E275" s="236"/>
      <c r="F275" s="236"/>
      <c r="G275" s="236"/>
      <c r="H275" s="236"/>
      <c r="I275" s="236"/>
      <c r="J275" s="236"/>
      <c r="K275" s="236"/>
      <c r="L275" s="242"/>
      <c r="M275" s="243"/>
      <c r="N275" s="243"/>
      <c r="O275" s="243"/>
      <c r="P275" s="243"/>
      <c r="Q275" s="243"/>
      <c r="R275" s="243"/>
      <c r="S275" s="243"/>
      <c r="T275" s="243"/>
      <c r="U275" s="244"/>
      <c r="V275" s="87"/>
      <c r="W275" s="87"/>
      <c r="X275" s="87"/>
      <c r="Y275" s="87"/>
      <c r="Z275" s="87"/>
      <c r="AA275" s="87"/>
      <c r="AB275" s="87"/>
      <c r="AC275" s="87"/>
      <c r="AD275" s="87"/>
      <c r="AE275" s="87"/>
      <c r="AF275" s="87"/>
    </row>
    <row r="276" spans="3:32" ht="15.75" customHeight="1">
      <c r="C276" s="235"/>
      <c r="D276" s="236"/>
      <c r="E276" s="236"/>
      <c r="F276" s="236"/>
      <c r="G276" s="236"/>
      <c r="H276" s="236"/>
      <c r="I276" s="236"/>
      <c r="J276" s="236"/>
      <c r="K276" s="236"/>
      <c r="L276" s="242"/>
      <c r="M276" s="243"/>
      <c r="N276" s="243"/>
      <c r="O276" s="243"/>
      <c r="P276" s="243"/>
      <c r="Q276" s="243"/>
      <c r="R276" s="243"/>
      <c r="S276" s="243"/>
      <c r="T276" s="243"/>
      <c r="U276" s="244"/>
      <c r="V276" s="87"/>
      <c r="W276" s="87"/>
      <c r="X276" s="87"/>
      <c r="Y276" s="87"/>
      <c r="Z276" s="87"/>
      <c r="AA276" s="87"/>
      <c r="AB276" s="87"/>
      <c r="AC276" s="87"/>
      <c r="AD276" s="87"/>
      <c r="AE276" s="87"/>
      <c r="AF276" s="87"/>
    </row>
    <row r="277" spans="3:32" ht="15.75" customHeight="1" thickBot="1">
      <c r="C277" s="237"/>
      <c r="D277" s="238"/>
      <c r="E277" s="238"/>
      <c r="F277" s="238"/>
      <c r="G277" s="238"/>
      <c r="H277" s="238"/>
      <c r="I277" s="238"/>
      <c r="J277" s="238"/>
      <c r="K277" s="238"/>
      <c r="L277" s="245"/>
      <c r="M277" s="246"/>
      <c r="N277" s="246"/>
      <c r="O277" s="246"/>
      <c r="P277" s="246"/>
      <c r="Q277" s="246"/>
      <c r="R277" s="246"/>
      <c r="S277" s="246"/>
      <c r="T277" s="246"/>
      <c r="U277" s="247"/>
      <c r="V277" s="87"/>
      <c r="W277" s="87"/>
      <c r="X277" s="87"/>
      <c r="Y277" s="87"/>
      <c r="Z277" s="87"/>
      <c r="AA277" s="87"/>
      <c r="AB277" s="87"/>
      <c r="AC277" s="87"/>
      <c r="AD277" s="87"/>
      <c r="AE277" s="87"/>
      <c r="AF277" s="87"/>
    </row>
    <row r="278" spans="3:32" ht="15.75" customHeight="1" thickBot="1">
      <c r="C278" s="89"/>
      <c r="D278" s="89"/>
      <c r="E278" s="89"/>
      <c r="F278" s="89"/>
      <c r="G278" s="89"/>
      <c r="H278" s="89"/>
      <c r="I278" s="89"/>
      <c r="J278" s="89"/>
      <c r="K278" s="89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</row>
    <row r="279" spans="3:32" ht="15.75" customHeight="1">
      <c r="C279" s="233" t="str">
        <f>IF(OR(L103="",N103=""),"13º Lugar",IF(L103&gt;N103,D103,O103))</f>
        <v>13º Lugar</v>
      </c>
      <c r="D279" s="234"/>
      <c r="E279" s="234"/>
      <c r="F279" s="234"/>
      <c r="G279" s="234"/>
      <c r="H279" s="234"/>
      <c r="I279" s="234"/>
      <c r="J279" s="234"/>
      <c r="K279" s="234"/>
      <c r="L279" s="239" t="s">
        <v>139</v>
      </c>
      <c r="M279" s="240"/>
      <c r="N279" s="240"/>
      <c r="O279" s="240"/>
      <c r="P279" s="240"/>
      <c r="Q279" s="240"/>
      <c r="R279" s="240"/>
      <c r="S279" s="240"/>
      <c r="T279" s="240"/>
      <c r="U279" s="241"/>
      <c r="V279" s="87"/>
      <c r="W279" s="87"/>
      <c r="X279" s="87"/>
      <c r="Y279" s="87"/>
      <c r="Z279" s="87"/>
      <c r="AA279" s="87"/>
      <c r="AB279" s="87"/>
      <c r="AC279" s="87"/>
      <c r="AD279" s="87"/>
      <c r="AE279" s="87"/>
      <c r="AF279" s="87"/>
    </row>
    <row r="280" spans="3:32" ht="15.75" customHeight="1">
      <c r="C280" s="235"/>
      <c r="D280" s="236"/>
      <c r="E280" s="236"/>
      <c r="F280" s="236"/>
      <c r="G280" s="236"/>
      <c r="H280" s="236"/>
      <c r="I280" s="236"/>
      <c r="J280" s="236"/>
      <c r="K280" s="236"/>
      <c r="L280" s="242"/>
      <c r="M280" s="243"/>
      <c r="N280" s="243"/>
      <c r="O280" s="243"/>
      <c r="P280" s="243"/>
      <c r="Q280" s="243"/>
      <c r="R280" s="243"/>
      <c r="S280" s="243"/>
      <c r="T280" s="243"/>
      <c r="U280" s="244"/>
      <c r="V280" s="87"/>
      <c r="W280" s="87"/>
      <c r="X280" s="87"/>
      <c r="Y280" s="87"/>
      <c r="Z280" s="87"/>
      <c r="AA280" s="87"/>
      <c r="AB280" s="87"/>
      <c r="AC280" s="87"/>
      <c r="AD280" s="87"/>
      <c r="AE280" s="87"/>
      <c r="AF280" s="87"/>
    </row>
    <row r="281" spans="3:32" ht="15.75" customHeight="1">
      <c r="C281" s="235"/>
      <c r="D281" s="236"/>
      <c r="E281" s="236"/>
      <c r="F281" s="236"/>
      <c r="G281" s="236"/>
      <c r="H281" s="236"/>
      <c r="I281" s="236"/>
      <c r="J281" s="236"/>
      <c r="K281" s="236"/>
      <c r="L281" s="242"/>
      <c r="M281" s="243"/>
      <c r="N281" s="243"/>
      <c r="O281" s="243"/>
      <c r="P281" s="243"/>
      <c r="Q281" s="243"/>
      <c r="R281" s="243"/>
      <c r="S281" s="243"/>
      <c r="T281" s="243"/>
      <c r="U281" s="244"/>
      <c r="V281" s="87"/>
      <c r="W281" s="87"/>
      <c r="X281" s="87"/>
      <c r="Y281" s="87"/>
      <c r="Z281" s="87"/>
      <c r="AA281" s="87"/>
      <c r="AB281" s="87"/>
      <c r="AC281" s="87"/>
      <c r="AD281" s="87"/>
      <c r="AE281" s="87"/>
      <c r="AF281" s="87"/>
    </row>
    <row r="282" spans="3:32" ht="15.75" customHeight="1">
      <c r="C282" s="235"/>
      <c r="D282" s="236"/>
      <c r="E282" s="236"/>
      <c r="F282" s="236"/>
      <c r="G282" s="236"/>
      <c r="H282" s="236"/>
      <c r="I282" s="236"/>
      <c r="J282" s="236"/>
      <c r="K282" s="236"/>
      <c r="L282" s="242"/>
      <c r="M282" s="243"/>
      <c r="N282" s="243"/>
      <c r="O282" s="243"/>
      <c r="P282" s="243"/>
      <c r="Q282" s="243"/>
      <c r="R282" s="243"/>
      <c r="S282" s="243"/>
      <c r="T282" s="243"/>
      <c r="U282" s="244"/>
      <c r="V282" s="87"/>
      <c r="W282" s="87"/>
      <c r="X282" s="87"/>
      <c r="Y282" s="87"/>
      <c r="Z282" s="87"/>
      <c r="AA282" s="87"/>
      <c r="AB282" s="87"/>
      <c r="AC282" s="87"/>
      <c r="AD282" s="87"/>
      <c r="AE282" s="87"/>
      <c r="AF282" s="87"/>
    </row>
    <row r="283" spans="3:32" ht="15.75" customHeight="1">
      <c r="C283" s="235"/>
      <c r="D283" s="236"/>
      <c r="E283" s="236"/>
      <c r="F283" s="236"/>
      <c r="G283" s="236"/>
      <c r="H283" s="236"/>
      <c r="I283" s="236"/>
      <c r="J283" s="236"/>
      <c r="K283" s="236"/>
      <c r="L283" s="242"/>
      <c r="M283" s="243"/>
      <c r="N283" s="243"/>
      <c r="O283" s="243"/>
      <c r="P283" s="243"/>
      <c r="Q283" s="243"/>
      <c r="R283" s="243"/>
      <c r="S283" s="243"/>
      <c r="T283" s="243"/>
      <c r="U283" s="244"/>
      <c r="V283" s="87"/>
      <c r="W283" s="87"/>
      <c r="X283" s="87"/>
      <c r="Y283" s="87"/>
      <c r="Z283" s="87"/>
      <c r="AA283" s="87"/>
      <c r="AB283" s="87"/>
      <c r="AC283" s="87"/>
      <c r="AD283" s="87"/>
      <c r="AE283" s="87"/>
      <c r="AF283" s="87"/>
    </row>
    <row r="284" spans="3:32" ht="15.75" customHeight="1">
      <c r="C284" s="235"/>
      <c r="D284" s="236"/>
      <c r="E284" s="236"/>
      <c r="F284" s="236"/>
      <c r="G284" s="236"/>
      <c r="H284" s="236"/>
      <c r="I284" s="236"/>
      <c r="J284" s="236"/>
      <c r="K284" s="236"/>
      <c r="L284" s="242"/>
      <c r="M284" s="243"/>
      <c r="N284" s="243"/>
      <c r="O284" s="243"/>
      <c r="P284" s="243"/>
      <c r="Q284" s="243"/>
      <c r="R284" s="243"/>
      <c r="S284" s="243"/>
      <c r="T284" s="243"/>
      <c r="U284" s="244"/>
      <c r="V284" s="87"/>
      <c r="W284" s="87"/>
      <c r="X284" s="87"/>
      <c r="Y284" s="87"/>
      <c r="Z284" s="87"/>
      <c r="AA284" s="87"/>
      <c r="AB284" s="87"/>
      <c r="AC284" s="87"/>
      <c r="AD284" s="87"/>
      <c r="AE284" s="87"/>
      <c r="AF284" s="87"/>
    </row>
    <row r="285" spans="3:32" ht="15.75" customHeight="1">
      <c r="C285" s="235"/>
      <c r="D285" s="236"/>
      <c r="E285" s="236"/>
      <c r="F285" s="236"/>
      <c r="G285" s="236"/>
      <c r="H285" s="236"/>
      <c r="I285" s="236"/>
      <c r="J285" s="236"/>
      <c r="K285" s="236"/>
      <c r="L285" s="242"/>
      <c r="M285" s="243"/>
      <c r="N285" s="243"/>
      <c r="O285" s="243"/>
      <c r="P285" s="243"/>
      <c r="Q285" s="243"/>
      <c r="R285" s="243"/>
      <c r="S285" s="243"/>
      <c r="T285" s="243"/>
      <c r="U285" s="244"/>
      <c r="V285" s="87"/>
      <c r="W285" s="87"/>
      <c r="X285" s="87"/>
      <c r="Y285" s="87"/>
      <c r="Z285" s="87"/>
      <c r="AA285" s="87"/>
      <c r="AB285" s="87"/>
      <c r="AC285" s="87"/>
      <c r="AD285" s="87"/>
      <c r="AE285" s="87"/>
      <c r="AF285" s="87"/>
    </row>
    <row r="286" spans="3:32" ht="15.75" customHeight="1">
      <c r="C286" s="235"/>
      <c r="D286" s="236"/>
      <c r="E286" s="236"/>
      <c r="F286" s="236"/>
      <c r="G286" s="236"/>
      <c r="H286" s="236"/>
      <c r="I286" s="236"/>
      <c r="J286" s="236"/>
      <c r="K286" s="236"/>
      <c r="L286" s="242"/>
      <c r="M286" s="243"/>
      <c r="N286" s="243"/>
      <c r="O286" s="243"/>
      <c r="P286" s="243"/>
      <c r="Q286" s="243"/>
      <c r="R286" s="243"/>
      <c r="S286" s="243"/>
      <c r="T286" s="243"/>
      <c r="U286" s="244"/>
      <c r="V286" s="87"/>
      <c r="W286" s="87"/>
      <c r="X286" s="87"/>
      <c r="Y286" s="87"/>
      <c r="Z286" s="87"/>
      <c r="AA286" s="87"/>
      <c r="AB286" s="87"/>
      <c r="AC286" s="87"/>
      <c r="AD286" s="87"/>
      <c r="AE286" s="87"/>
      <c r="AF286" s="87"/>
    </row>
    <row r="287" spans="3:32" ht="15.75" customHeight="1">
      <c r="C287" s="235"/>
      <c r="D287" s="236"/>
      <c r="E287" s="236"/>
      <c r="F287" s="236"/>
      <c r="G287" s="236"/>
      <c r="H287" s="236"/>
      <c r="I287" s="236"/>
      <c r="J287" s="236"/>
      <c r="K287" s="236"/>
      <c r="L287" s="242"/>
      <c r="M287" s="243"/>
      <c r="N287" s="243"/>
      <c r="O287" s="243"/>
      <c r="P287" s="243"/>
      <c r="Q287" s="243"/>
      <c r="R287" s="243"/>
      <c r="S287" s="243"/>
      <c r="T287" s="243"/>
      <c r="U287" s="244"/>
      <c r="V287" s="87"/>
      <c r="W287" s="87"/>
      <c r="X287" s="87"/>
      <c r="Y287" s="87"/>
      <c r="Z287" s="87"/>
      <c r="AA287" s="87"/>
      <c r="AB287" s="87"/>
      <c r="AC287" s="87"/>
      <c r="AD287" s="87"/>
      <c r="AE287" s="87"/>
      <c r="AF287" s="87"/>
    </row>
    <row r="288" spans="3:32" ht="15.75" customHeight="1" thickBot="1">
      <c r="C288" s="237"/>
      <c r="D288" s="238"/>
      <c r="E288" s="238"/>
      <c r="F288" s="238"/>
      <c r="G288" s="238"/>
      <c r="H288" s="238"/>
      <c r="I288" s="238"/>
      <c r="J288" s="238"/>
      <c r="K288" s="238"/>
      <c r="L288" s="245"/>
      <c r="M288" s="246"/>
      <c r="N288" s="246"/>
      <c r="O288" s="246"/>
      <c r="P288" s="246"/>
      <c r="Q288" s="246"/>
      <c r="R288" s="246"/>
      <c r="S288" s="246"/>
      <c r="T288" s="246"/>
      <c r="U288" s="247"/>
      <c r="V288" s="87"/>
      <c r="W288" s="87"/>
      <c r="X288" s="87"/>
      <c r="Y288" s="87"/>
      <c r="Z288" s="87"/>
      <c r="AA288" s="87"/>
      <c r="AB288" s="87"/>
      <c r="AC288" s="87"/>
      <c r="AD288" s="87"/>
      <c r="AE288" s="87"/>
      <c r="AF288" s="87"/>
    </row>
    <row r="289" spans="3:32" ht="15.75" customHeight="1" thickBot="1">
      <c r="C289" s="89"/>
      <c r="D289" s="89"/>
      <c r="E289" s="89"/>
      <c r="F289" s="89"/>
      <c r="G289" s="89"/>
      <c r="H289" s="89"/>
      <c r="I289" s="89"/>
      <c r="J289" s="89"/>
      <c r="K289" s="89"/>
      <c r="L289" s="88"/>
      <c r="M289" s="88"/>
      <c r="N289" s="88"/>
      <c r="O289" s="88"/>
      <c r="P289" s="88"/>
      <c r="Q289" s="88"/>
      <c r="R289" s="88"/>
      <c r="S289" s="88"/>
      <c r="T289" s="88"/>
      <c r="U289" s="88"/>
      <c r="V289" s="88"/>
      <c r="W289" s="88"/>
      <c r="X289" s="88"/>
      <c r="Y289" s="88"/>
      <c r="Z289" s="88"/>
      <c r="AA289" s="88"/>
      <c r="AB289" s="88"/>
      <c r="AC289" s="88"/>
      <c r="AD289" s="88"/>
      <c r="AE289" s="88"/>
      <c r="AF289" s="88"/>
    </row>
    <row r="290" spans="3:32" ht="15.75" customHeight="1">
      <c r="C290" s="233" t="str">
        <f>IF(OR(L103="",N103=""),"14º Lugar",IF(L103&lt;N103,D103,O103))</f>
        <v>14º Lugar</v>
      </c>
      <c r="D290" s="234"/>
      <c r="E290" s="234"/>
      <c r="F290" s="234"/>
      <c r="G290" s="234"/>
      <c r="H290" s="234"/>
      <c r="I290" s="234"/>
      <c r="J290" s="234"/>
      <c r="K290" s="234"/>
      <c r="L290" s="239" t="s">
        <v>140</v>
      </c>
      <c r="M290" s="240"/>
      <c r="N290" s="240"/>
      <c r="O290" s="240"/>
      <c r="P290" s="240"/>
      <c r="Q290" s="240"/>
      <c r="R290" s="240"/>
      <c r="S290" s="240"/>
      <c r="T290" s="240"/>
      <c r="U290" s="241"/>
      <c r="V290" s="87"/>
      <c r="W290" s="87"/>
      <c r="X290" s="87"/>
      <c r="Y290" s="87"/>
      <c r="Z290" s="87"/>
      <c r="AA290" s="87"/>
      <c r="AB290" s="87"/>
      <c r="AC290" s="87"/>
      <c r="AD290" s="87"/>
      <c r="AE290" s="87"/>
      <c r="AF290" s="87"/>
    </row>
    <row r="291" spans="3:32" ht="15.75" customHeight="1">
      <c r="C291" s="235"/>
      <c r="D291" s="236"/>
      <c r="E291" s="236"/>
      <c r="F291" s="236"/>
      <c r="G291" s="236"/>
      <c r="H291" s="236"/>
      <c r="I291" s="236"/>
      <c r="J291" s="236"/>
      <c r="K291" s="236"/>
      <c r="L291" s="242"/>
      <c r="M291" s="243"/>
      <c r="N291" s="243"/>
      <c r="O291" s="243"/>
      <c r="P291" s="243"/>
      <c r="Q291" s="243"/>
      <c r="R291" s="243"/>
      <c r="S291" s="243"/>
      <c r="T291" s="243"/>
      <c r="U291" s="244"/>
      <c r="V291" s="87"/>
      <c r="W291" s="87"/>
      <c r="X291" s="87"/>
      <c r="Y291" s="87"/>
      <c r="Z291" s="87"/>
      <c r="AA291" s="87"/>
      <c r="AB291" s="87"/>
      <c r="AC291" s="87"/>
      <c r="AD291" s="87"/>
      <c r="AE291" s="87"/>
      <c r="AF291" s="87"/>
    </row>
    <row r="292" spans="3:32" ht="15.75" customHeight="1">
      <c r="C292" s="235"/>
      <c r="D292" s="236"/>
      <c r="E292" s="236"/>
      <c r="F292" s="236"/>
      <c r="G292" s="236"/>
      <c r="H292" s="236"/>
      <c r="I292" s="236"/>
      <c r="J292" s="236"/>
      <c r="K292" s="236"/>
      <c r="L292" s="242"/>
      <c r="M292" s="243"/>
      <c r="N292" s="243"/>
      <c r="O292" s="243"/>
      <c r="P292" s="243"/>
      <c r="Q292" s="243"/>
      <c r="R292" s="243"/>
      <c r="S292" s="243"/>
      <c r="T292" s="243"/>
      <c r="U292" s="244"/>
      <c r="V292" s="87"/>
      <c r="W292" s="87"/>
      <c r="X292" s="87"/>
      <c r="Y292" s="87"/>
      <c r="Z292" s="87"/>
      <c r="AA292" s="87"/>
      <c r="AB292" s="87"/>
      <c r="AC292" s="87"/>
      <c r="AD292" s="87"/>
      <c r="AE292" s="87"/>
      <c r="AF292" s="87"/>
    </row>
    <row r="293" spans="3:32" ht="15.75" customHeight="1">
      <c r="C293" s="235"/>
      <c r="D293" s="236"/>
      <c r="E293" s="236"/>
      <c r="F293" s="236"/>
      <c r="G293" s="236"/>
      <c r="H293" s="236"/>
      <c r="I293" s="236"/>
      <c r="J293" s="236"/>
      <c r="K293" s="236"/>
      <c r="L293" s="242"/>
      <c r="M293" s="243"/>
      <c r="N293" s="243"/>
      <c r="O293" s="243"/>
      <c r="P293" s="243"/>
      <c r="Q293" s="243"/>
      <c r="R293" s="243"/>
      <c r="S293" s="243"/>
      <c r="T293" s="243"/>
      <c r="U293" s="244"/>
      <c r="V293" s="87"/>
      <c r="W293" s="87"/>
      <c r="X293" s="87"/>
      <c r="Y293" s="87"/>
      <c r="Z293" s="87"/>
      <c r="AA293" s="87"/>
      <c r="AB293" s="87"/>
      <c r="AC293" s="87"/>
      <c r="AD293" s="87"/>
      <c r="AE293" s="87"/>
      <c r="AF293" s="87"/>
    </row>
    <row r="294" spans="3:32" ht="15.75" customHeight="1">
      <c r="C294" s="235"/>
      <c r="D294" s="236"/>
      <c r="E294" s="236"/>
      <c r="F294" s="236"/>
      <c r="G294" s="236"/>
      <c r="H294" s="236"/>
      <c r="I294" s="236"/>
      <c r="J294" s="236"/>
      <c r="K294" s="236"/>
      <c r="L294" s="242"/>
      <c r="M294" s="243"/>
      <c r="N294" s="243"/>
      <c r="O294" s="243"/>
      <c r="P294" s="243"/>
      <c r="Q294" s="243"/>
      <c r="R294" s="243"/>
      <c r="S294" s="243"/>
      <c r="T294" s="243"/>
      <c r="U294" s="244"/>
      <c r="V294" s="87"/>
      <c r="W294" s="87"/>
      <c r="X294" s="87"/>
      <c r="Y294" s="87"/>
      <c r="Z294" s="87"/>
      <c r="AA294" s="87"/>
      <c r="AB294" s="87"/>
      <c r="AC294" s="87"/>
      <c r="AD294" s="87"/>
      <c r="AE294" s="87"/>
      <c r="AF294" s="87"/>
    </row>
    <row r="295" spans="3:32" ht="15.75" customHeight="1">
      <c r="C295" s="235"/>
      <c r="D295" s="236"/>
      <c r="E295" s="236"/>
      <c r="F295" s="236"/>
      <c r="G295" s="236"/>
      <c r="H295" s="236"/>
      <c r="I295" s="236"/>
      <c r="J295" s="236"/>
      <c r="K295" s="236"/>
      <c r="L295" s="242"/>
      <c r="M295" s="243"/>
      <c r="N295" s="243"/>
      <c r="O295" s="243"/>
      <c r="P295" s="243"/>
      <c r="Q295" s="243"/>
      <c r="R295" s="243"/>
      <c r="S295" s="243"/>
      <c r="T295" s="243"/>
      <c r="U295" s="244"/>
      <c r="V295" s="87"/>
      <c r="W295" s="87"/>
      <c r="X295" s="87"/>
      <c r="Y295" s="87"/>
      <c r="Z295" s="87"/>
      <c r="AA295" s="87"/>
      <c r="AB295" s="87"/>
      <c r="AC295" s="87"/>
      <c r="AD295" s="87"/>
      <c r="AE295" s="87"/>
      <c r="AF295" s="87"/>
    </row>
    <row r="296" spans="3:32" ht="15.75" customHeight="1">
      <c r="C296" s="235"/>
      <c r="D296" s="236"/>
      <c r="E296" s="236"/>
      <c r="F296" s="236"/>
      <c r="G296" s="236"/>
      <c r="H296" s="236"/>
      <c r="I296" s="236"/>
      <c r="J296" s="236"/>
      <c r="K296" s="236"/>
      <c r="L296" s="242"/>
      <c r="M296" s="243"/>
      <c r="N296" s="243"/>
      <c r="O296" s="243"/>
      <c r="P296" s="243"/>
      <c r="Q296" s="243"/>
      <c r="R296" s="243"/>
      <c r="S296" s="243"/>
      <c r="T296" s="243"/>
      <c r="U296" s="244"/>
      <c r="V296" s="87"/>
      <c r="W296" s="87"/>
      <c r="X296" s="87"/>
      <c r="Y296" s="87"/>
      <c r="Z296" s="87"/>
      <c r="AA296" s="87"/>
      <c r="AB296" s="87"/>
      <c r="AC296" s="87"/>
      <c r="AD296" s="87"/>
      <c r="AE296" s="87"/>
      <c r="AF296" s="87"/>
    </row>
    <row r="297" spans="3:32" ht="15.75" customHeight="1">
      <c r="C297" s="235"/>
      <c r="D297" s="236"/>
      <c r="E297" s="236"/>
      <c r="F297" s="236"/>
      <c r="G297" s="236"/>
      <c r="H297" s="236"/>
      <c r="I297" s="236"/>
      <c r="J297" s="236"/>
      <c r="K297" s="236"/>
      <c r="L297" s="242"/>
      <c r="M297" s="243"/>
      <c r="N297" s="243"/>
      <c r="O297" s="243"/>
      <c r="P297" s="243"/>
      <c r="Q297" s="243"/>
      <c r="R297" s="243"/>
      <c r="S297" s="243"/>
      <c r="T297" s="243"/>
      <c r="U297" s="244"/>
      <c r="V297" s="87"/>
      <c r="W297" s="87"/>
      <c r="X297" s="87"/>
      <c r="Y297" s="87"/>
      <c r="Z297" s="87"/>
      <c r="AA297" s="87"/>
      <c r="AB297" s="87"/>
      <c r="AC297" s="87"/>
      <c r="AD297" s="87"/>
      <c r="AE297" s="87"/>
      <c r="AF297" s="87"/>
    </row>
    <row r="298" spans="3:32" ht="15.75" customHeight="1">
      <c r="C298" s="235"/>
      <c r="D298" s="236"/>
      <c r="E298" s="236"/>
      <c r="F298" s="236"/>
      <c r="G298" s="236"/>
      <c r="H298" s="236"/>
      <c r="I298" s="236"/>
      <c r="J298" s="236"/>
      <c r="K298" s="236"/>
      <c r="L298" s="242"/>
      <c r="M298" s="243"/>
      <c r="N298" s="243"/>
      <c r="O298" s="243"/>
      <c r="P298" s="243"/>
      <c r="Q298" s="243"/>
      <c r="R298" s="243"/>
      <c r="S298" s="243"/>
      <c r="T298" s="243"/>
      <c r="U298" s="244"/>
      <c r="V298" s="87"/>
      <c r="W298" s="87"/>
      <c r="X298" s="87"/>
      <c r="Y298" s="87"/>
      <c r="Z298" s="87"/>
      <c r="AA298" s="87"/>
      <c r="AB298" s="87"/>
      <c r="AC298" s="87"/>
      <c r="AD298" s="87"/>
      <c r="AE298" s="87"/>
      <c r="AF298" s="87"/>
    </row>
    <row r="299" spans="3:32" ht="15.75" customHeight="1" thickBot="1">
      <c r="C299" s="237"/>
      <c r="D299" s="238"/>
      <c r="E299" s="238"/>
      <c r="F299" s="238"/>
      <c r="G299" s="238"/>
      <c r="H299" s="238"/>
      <c r="I299" s="238"/>
      <c r="J299" s="238"/>
      <c r="K299" s="238"/>
      <c r="L299" s="245"/>
      <c r="M299" s="246"/>
      <c r="N299" s="246"/>
      <c r="O299" s="246"/>
      <c r="P299" s="246"/>
      <c r="Q299" s="246"/>
      <c r="R299" s="246"/>
      <c r="S299" s="246"/>
      <c r="T299" s="246"/>
      <c r="U299" s="247"/>
      <c r="V299" s="87"/>
      <c r="W299" s="87"/>
      <c r="X299" s="87"/>
      <c r="Y299" s="87"/>
      <c r="Z299" s="87"/>
      <c r="AA299" s="87"/>
      <c r="AB299" s="87"/>
      <c r="AC299" s="87"/>
      <c r="AD299" s="87"/>
      <c r="AE299" s="87"/>
      <c r="AF299" s="87"/>
    </row>
    <row r="300" spans="3:32" ht="15.75" customHeight="1" thickBot="1">
      <c r="L300" s="68"/>
      <c r="M300" s="68"/>
      <c r="N300" s="68"/>
      <c r="O300" s="68"/>
      <c r="P300" s="68"/>
      <c r="Q300" s="68"/>
      <c r="R300" s="68"/>
      <c r="S300" s="68"/>
      <c r="T300" s="68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68"/>
      <c r="AF300" s="68"/>
    </row>
    <row r="301" spans="3:32" ht="15.75" customHeight="1">
      <c r="C301" s="233" t="str">
        <f>IF(OR(L96="",N96=""),"15º Lugar",IF(L96&gt;N96,D96,O96))</f>
        <v>15º Lugar</v>
      </c>
      <c r="D301" s="234"/>
      <c r="E301" s="234"/>
      <c r="F301" s="234"/>
      <c r="G301" s="234"/>
      <c r="H301" s="234"/>
      <c r="I301" s="234"/>
      <c r="J301" s="234"/>
      <c r="K301" s="234"/>
      <c r="L301" s="239" t="s">
        <v>141</v>
      </c>
      <c r="M301" s="240"/>
      <c r="N301" s="240"/>
      <c r="O301" s="240"/>
      <c r="P301" s="240"/>
      <c r="Q301" s="240"/>
      <c r="R301" s="240"/>
      <c r="S301" s="240"/>
      <c r="T301" s="240"/>
      <c r="U301" s="241"/>
      <c r="V301" s="87"/>
      <c r="W301" s="87"/>
      <c r="X301" s="87"/>
      <c r="Y301" s="87"/>
      <c r="Z301" s="87"/>
      <c r="AA301" s="87"/>
      <c r="AB301" s="87"/>
      <c r="AC301" s="87"/>
      <c r="AD301" s="87"/>
      <c r="AE301" s="87"/>
      <c r="AF301" s="87"/>
    </row>
    <row r="302" spans="3:32" ht="15.75" customHeight="1">
      <c r="C302" s="235"/>
      <c r="D302" s="236"/>
      <c r="E302" s="236"/>
      <c r="F302" s="236"/>
      <c r="G302" s="236"/>
      <c r="H302" s="236"/>
      <c r="I302" s="236"/>
      <c r="J302" s="236"/>
      <c r="K302" s="236"/>
      <c r="L302" s="242"/>
      <c r="M302" s="243"/>
      <c r="N302" s="243"/>
      <c r="O302" s="243"/>
      <c r="P302" s="243"/>
      <c r="Q302" s="243"/>
      <c r="R302" s="243"/>
      <c r="S302" s="243"/>
      <c r="T302" s="243"/>
      <c r="U302" s="244"/>
      <c r="V302" s="87"/>
      <c r="W302" s="87"/>
      <c r="X302" s="87"/>
      <c r="Y302" s="87"/>
      <c r="Z302" s="87"/>
      <c r="AA302" s="87"/>
      <c r="AB302" s="87"/>
      <c r="AC302" s="87"/>
      <c r="AD302" s="87"/>
      <c r="AE302" s="87"/>
      <c r="AF302" s="87"/>
    </row>
    <row r="303" spans="3:32" ht="15.75" customHeight="1">
      <c r="C303" s="235"/>
      <c r="D303" s="236"/>
      <c r="E303" s="236"/>
      <c r="F303" s="236"/>
      <c r="G303" s="236"/>
      <c r="H303" s="236"/>
      <c r="I303" s="236"/>
      <c r="J303" s="236"/>
      <c r="K303" s="236"/>
      <c r="L303" s="242"/>
      <c r="M303" s="243"/>
      <c r="N303" s="243"/>
      <c r="O303" s="243"/>
      <c r="P303" s="243"/>
      <c r="Q303" s="243"/>
      <c r="R303" s="243"/>
      <c r="S303" s="243"/>
      <c r="T303" s="243"/>
      <c r="U303" s="244"/>
      <c r="V303" s="87"/>
      <c r="W303" s="87"/>
      <c r="X303" s="87"/>
      <c r="Y303" s="87"/>
      <c r="Z303" s="87"/>
      <c r="AA303" s="87"/>
      <c r="AB303" s="87"/>
      <c r="AC303" s="87"/>
      <c r="AD303" s="87"/>
      <c r="AE303" s="87"/>
      <c r="AF303" s="87"/>
    </row>
    <row r="304" spans="3:32" ht="15.75" customHeight="1">
      <c r="C304" s="235"/>
      <c r="D304" s="236"/>
      <c r="E304" s="236"/>
      <c r="F304" s="236"/>
      <c r="G304" s="236"/>
      <c r="H304" s="236"/>
      <c r="I304" s="236"/>
      <c r="J304" s="236"/>
      <c r="K304" s="236"/>
      <c r="L304" s="242"/>
      <c r="M304" s="243"/>
      <c r="N304" s="243"/>
      <c r="O304" s="243"/>
      <c r="P304" s="243"/>
      <c r="Q304" s="243"/>
      <c r="R304" s="243"/>
      <c r="S304" s="243"/>
      <c r="T304" s="243"/>
      <c r="U304" s="244"/>
      <c r="V304" s="87"/>
      <c r="W304" s="87"/>
      <c r="X304" s="87"/>
      <c r="Y304" s="87"/>
      <c r="Z304" s="87"/>
      <c r="AA304" s="87"/>
      <c r="AB304" s="87"/>
      <c r="AC304" s="87"/>
      <c r="AD304" s="87"/>
      <c r="AE304" s="87"/>
      <c r="AF304" s="87"/>
    </row>
    <row r="305" spans="3:32" ht="15.75" customHeight="1">
      <c r="C305" s="235"/>
      <c r="D305" s="236"/>
      <c r="E305" s="236"/>
      <c r="F305" s="236"/>
      <c r="G305" s="236"/>
      <c r="H305" s="236"/>
      <c r="I305" s="236"/>
      <c r="J305" s="236"/>
      <c r="K305" s="236"/>
      <c r="L305" s="242"/>
      <c r="M305" s="243"/>
      <c r="N305" s="243"/>
      <c r="O305" s="243"/>
      <c r="P305" s="243"/>
      <c r="Q305" s="243"/>
      <c r="R305" s="243"/>
      <c r="S305" s="243"/>
      <c r="T305" s="243"/>
      <c r="U305" s="244"/>
      <c r="V305" s="87"/>
      <c r="W305" s="87"/>
      <c r="X305" s="87"/>
      <c r="Y305" s="87"/>
      <c r="Z305" s="87"/>
      <c r="AA305" s="87"/>
      <c r="AB305" s="87"/>
      <c r="AC305" s="87"/>
      <c r="AD305" s="87"/>
      <c r="AE305" s="87"/>
      <c r="AF305" s="87"/>
    </row>
    <row r="306" spans="3:32" ht="15.75" customHeight="1">
      <c r="C306" s="235"/>
      <c r="D306" s="236"/>
      <c r="E306" s="236"/>
      <c r="F306" s="236"/>
      <c r="G306" s="236"/>
      <c r="H306" s="236"/>
      <c r="I306" s="236"/>
      <c r="J306" s="236"/>
      <c r="K306" s="236"/>
      <c r="L306" s="242"/>
      <c r="M306" s="243"/>
      <c r="N306" s="243"/>
      <c r="O306" s="243"/>
      <c r="P306" s="243"/>
      <c r="Q306" s="243"/>
      <c r="R306" s="243"/>
      <c r="S306" s="243"/>
      <c r="T306" s="243"/>
      <c r="U306" s="244"/>
      <c r="V306" s="87"/>
      <c r="W306" s="87"/>
      <c r="X306" s="87"/>
      <c r="Y306" s="87"/>
      <c r="Z306" s="87"/>
      <c r="AA306" s="87"/>
      <c r="AB306" s="87"/>
      <c r="AC306" s="87"/>
      <c r="AD306" s="87"/>
      <c r="AE306" s="87"/>
      <c r="AF306" s="87"/>
    </row>
    <row r="307" spans="3:32" ht="15.75" customHeight="1">
      <c r="C307" s="235"/>
      <c r="D307" s="236"/>
      <c r="E307" s="236"/>
      <c r="F307" s="236"/>
      <c r="G307" s="236"/>
      <c r="H307" s="236"/>
      <c r="I307" s="236"/>
      <c r="J307" s="236"/>
      <c r="K307" s="236"/>
      <c r="L307" s="242"/>
      <c r="M307" s="243"/>
      <c r="N307" s="243"/>
      <c r="O307" s="243"/>
      <c r="P307" s="243"/>
      <c r="Q307" s="243"/>
      <c r="R307" s="243"/>
      <c r="S307" s="243"/>
      <c r="T307" s="243"/>
      <c r="U307" s="244"/>
      <c r="V307" s="87"/>
      <c r="W307" s="87"/>
      <c r="X307" s="87"/>
      <c r="Y307" s="87"/>
      <c r="Z307" s="87"/>
      <c r="AA307" s="87"/>
      <c r="AB307" s="87"/>
      <c r="AC307" s="87"/>
      <c r="AD307" s="87"/>
      <c r="AE307" s="87"/>
      <c r="AF307" s="87"/>
    </row>
    <row r="308" spans="3:32" ht="15.75" customHeight="1">
      <c r="C308" s="235"/>
      <c r="D308" s="236"/>
      <c r="E308" s="236"/>
      <c r="F308" s="236"/>
      <c r="G308" s="236"/>
      <c r="H308" s="236"/>
      <c r="I308" s="236"/>
      <c r="J308" s="236"/>
      <c r="K308" s="236"/>
      <c r="L308" s="242"/>
      <c r="M308" s="243"/>
      <c r="N308" s="243"/>
      <c r="O308" s="243"/>
      <c r="P308" s="243"/>
      <c r="Q308" s="243"/>
      <c r="R308" s="243"/>
      <c r="S308" s="243"/>
      <c r="T308" s="243"/>
      <c r="U308" s="244"/>
      <c r="V308" s="87"/>
      <c r="W308" s="87"/>
      <c r="X308" s="87"/>
      <c r="Y308" s="87"/>
      <c r="Z308" s="87"/>
      <c r="AA308" s="87"/>
      <c r="AB308" s="87"/>
      <c r="AC308" s="87"/>
      <c r="AD308" s="87"/>
      <c r="AE308" s="87"/>
      <c r="AF308" s="87"/>
    </row>
    <row r="309" spans="3:32" ht="15.75" customHeight="1">
      <c r="C309" s="235"/>
      <c r="D309" s="236"/>
      <c r="E309" s="236"/>
      <c r="F309" s="236"/>
      <c r="G309" s="236"/>
      <c r="H309" s="236"/>
      <c r="I309" s="236"/>
      <c r="J309" s="236"/>
      <c r="K309" s="236"/>
      <c r="L309" s="242"/>
      <c r="M309" s="243"/>
      <c r="N309" s="243"/>
      <c r="O309" s="243"/>
      <c r="P309" s="243"/>
      <c r="Q309" s="243"/>
      <c r="R309" s="243"/>
      <c r="S309" s="243"/>
      <c r="T309" s="243"/>
      <c r="U309" s="244"/>
      <c r="V309" s="87"/>
      <c r="W309" s="87"/>
      <c r="X309" s="87"/>
      <c r="Y309" s="87"/>
      <c r="Z309" s="87"/>
      <c r="AA309" s="87"/>
      <c r="AB309" s="87"/>
      <c r="AC309" s="87"/>
      <c r="AD309" s="87"/>
      <c r="AE309" s="87"/>
      <c r="AF309" s="87"/>
    </row>
    <row r="310" spans="3:32" ht="15.75" customHeight="1" thickBot="1">
      <c r="C310" s="237"/>
      <c r="D310" s="238"/>
      <c r="E310" s="238"/>
      <c r="F310" s="238"/>
      <c r="G310" s="238"/>
      <c r="H310" s="238"/>
      <c r="I310" s="238"/>
      <c r="J310" s="238"/>
      <c r="K310" s="238"/>
      <c r="L310" s="245"/>
      <c r="M310" s="246"/>
      <c r="N310" s="246"/>
      <c r="O310" s="246"/>
      <c r="P310" s="246"/>
      <c r="Q310" s="246"/>
      <c r="R310" s="246"/>
      <c r="S310" s="246"/>
      <c r="T310" s="246"/>
      <c r="U310" s="247"/>
      <c r="V310" s="87"/>
      <c r="W310" s="87"/>
      <c r="X310" s="87"/>
      <c r="Y310" s="87"/>
      <c r="Z310" s="87"/>
      <c r="AA310" s="87"/>
      <c r="AB310" s="87"/>
      <c r="AC310" s="87"/>
      <c r="AD310" s="87"/>
      <c r="AE310" s="87"/>
      <c r="AF310" s="87"/>
    </row>
    <row r="311" spans="3:32" ht="15.75" customHeight="1" thickBot="1">
      <c r="C311" s="89"/>
      <c r="D311" s="89"/>
      <c r="E311" s="89"/>
      <c r="F311" s="89"/>
      <c r="G311" s="89"/>
      <c r="H311" s="89"/>
      <c r="I311" s="89"/>
      <c r="J311" s="89"/>
      <c r="K311" s="89"/>
      <c r="L311" s="88"/>
      <c r="M311" s="88"/>
      <c r="N311" s="88"/>
      <c r="O311" s="88"/>
      <c r="P311" s="88"/>
      <c r="Q311" s="88"/>
      <c r="R311" s="88"/>
      <c r="S311" s="88"/>
      <c r="T311" s="88"/>
      <c r="U311" s="88"/>
      <c r="V311" s="88"/>
      <c r="W311" s="88"/>
      <c r="X311" s="88"/>
      <c r="Y311" s="88"/>
      <c r="Z311" s="88"/>
      <c r="AA311" s="88"/>
      <c r="AB311" s="88"/>
      <c r="AC311" s="88"/>
      <c r="AD311" s="88"/>
      <c r="AE311" s="88"/>
      <c r="AF311" s="88"/>
    </row>
    <row r="312" spans="3:32" ht="15.75" customHeight="1">
      <c r="C312" s="233" t="str">
        <f>IF(OR(L96="",N96=""),"16º Lugar",IF(L96&lt;N96,D96,O96))</f>
        <v>16º Lugar</v>
      </c>
      <c r="D312" s="234"/>
      <c r="E312" s="234"/>
      <c r="F312" s="234"/>
      <c r="G312" s="234"/>
      <c r="H312" s="234"/>
      <c r="I312" s="234"/>
      <c r="J312" s="234"/>
      <c r="K312" s="234"/>
      <c r="L312" s="239" t="s">
        <v>142</v>
      </c>
      <c r="M312" s="240"/>
      <c r="N312" s="240"/>
      <c r="O312" s="240"/>
      <c r="P312" s="240"/>
      <c r="Q312" s="240"/>
      <c r="R312" s="240"/>
      <c r="S312" s="240"/>
      <c r="T312" s="240"/>
      <c r="U312" s="241"/>
      <c r="V312" s="87"/>
      <c r="W312" s="87"/>
      <c r="X312" s="87"/>
      <c r="Y312" s="87"/>
      <c r="Z312" s="87"/>
      <c r="AA312" s="87"/>
      <c r="AB312" s="87"/>
      <c r="AC312" s="87"/>
      <c r="AD312" s="87"/>
      <c r="AE312" s="87"/>
      <c r="AF312" s="87"/>
    </row>
    <row r="313" spans="3:32" ht="15.75" customHeight="1">
      <c r="C313" s="235"/>
      <c r="D313" s="236"/>
      <c r="E313" s="236"/>
      <c r="F313" s="236"/>
      <c r="G313" s="236"/>
      <c r="H313" s="236"/>
      <c r="I313" s="236"/>
      <c r="J313" s="236"/>
      <c r="K313" s="236"/>
      <c r="L313" s="242"/>
      <c r="M313" s="243"/>
      <c r="N313" s="243"/>
      <c r="O313" s="243"/>
      <c r="P313" s="243"/>
      <c r="Q313" s="243"/>
      <c r="R313" s="243"/>
      <c r="S313" s="243"/>
      <c r="T313" s="243"/>
      <c r="U313" s="244"/>
      <c r="V313" s="87"/>
      <c r="W313" s="87"/>
      <c r="X313" s="87"/>
      <c r="Y313" s="87"/>
      <c r="Z313" s="87"/>
      <c r="AA313" s="87"/>
      <c r="AB313" s="87"/>
      <c r="AC313" s="87"/>
      <c r="AD313" s="87"/>
      <c r="AE313" s="87"/>
      <c r="AF313" s="87"/>
    </row>
    <row r="314" spans="3:32" ht="15.75" customHeight="1">
      <c r="C314" s="235"/>
      <c r="D314" s="236"/>
      <c r="E314" s="236"/>
      <c r="F314" s="236"/>
      <c r="G314" s="236"/>
      <c r="H314" s="236"/>
      <c r="I314" s="236"/>
      <c r="J314" s="236"/>
      <c r="K314" s="236"/>
      <c r="L314" s="242"/>
      <c r="M314" s="243"/>
      <c r="N314" s="243"/>
      <c r="O314" s="243"/>
      <c r="P314" s="243"/>
      <c r="Q314" s="243"/>
      <c r="R314" s="243"/>
      <c r="S314" s="243"/>
      <c r="T314" s="243"/>
      <c r="U314" s="244"/>
      <c r="V314" s="87"/>
      <c r="W314" s="87"/>
      <c r="X314" s="87"/>
      <c r="Y314" s="87"/>
      <c r="Z314" s="87"/>
      <c r="AA314" s="87"/>
      <c r="AB314" s="87"/>
      <c r="AC314" s="87"/>
      <c r="AD314" s="87"/>
      <c r="AE314" s="87"/>
      <c r="AF314" s="87"/>
    </row>
    <row r="315" spans="3:32" ht="15.75" customHeight="1">
      <c r="C315" s="235"/>
      <c r="D315" s="236"/>
      <c r="E315" s="236"/>
      <c r="F315" s="236"/>
      <c r="G315" s="236"/>
      <c r="H315" s="236"/>
      <c r="I315" s="236"/>
      <c r="J315" s="236"/>
      <c r="K315" s="236"/>
      <c r="L315" s="242"/>
      <c r="M315" s="243"/>
      <c r="N315" s="243"/>
      <c r="O315" s="243"/>
      <c r="P315" s="243"/>
      <c r="Q315" s="243"/>
      <c r="R315" s="243"/>
      <c r="S315" s="243"/>
      <c r="T315" s="243"/>
      <c r="U315" s="244"/>
      <c r="V315" s="87"/>
      <c r="W315" s="87"/>
      <c r="X315" s="87"/>
      <c r="Y315" s="87"/>
      <c r="Z315" s="87"/>
      <c r="AA315" s="87"/>
      <c r="AB315" s="87"/>
      <c r="AC315" s="87"/>
      <c r="AD315" s="87"/>
      <c r="AE315" s="87"/>
      <c r="AF315" s="87"/>
    </row>
    <row r="316" spans="3:32" ht="15.75" customHeight="1">
      <c r="C316" s="235"/>
      <c r="D316" s="236"/>
      <c r="E316" s="236"/>
      <c r="F316" s="236"/>
      <c r="G316" s="236"/>
      <c r="H316" s="236"/>
      <c r="I316" s="236"/>
      <c r="J316" s="236"/>
      <c r="K316" s="236"/>
      <c r="L316" s="242"/>
      <c r="M316" s="243"/>
      <c r="N316" s="243"/>
      <c r="O316" s="243"/>
      <c r="P316" s="243"/>
      <c r="Q316" s="243"/>
      <c r="R316" s="243"/>
      <c r="S316" s="243"/>
      <c r="T316" s="243"/>
      <c r="U316" s="244"/>
      <c r="V316" s="87"/>
      <c r="W316" s="87"/>
      <c r="X316" s="87"/>
      <c r="Y316" s="87"/>
      <c r="Z316" s="87"/>
      <c r="AA316" s="87"/>
      <c r="AB316" s="87"/>
      <c r="AC316" s="87"/>
      <c r="AD316" s="87"/>
      <c r="AE316" s="87"/>
      <c r="AF316" s="87"/>
    </row>
    <row r="317" spans="3:32" ht="15.75" customHeight="1">
      <c r="C317" s="235"/>
      <c r="D317" s="236"/>
      <c r="E317" s="236"/>
      <c r="F317" s="236"/>
      <c r="G317" s="236"/>
      <c r="H317" s="236"/>
      <c r="I317" s="236"/>
      <c r="J317" s="236"/>
      <c r="K317" s="236"/>
      <c r="L317" s="242"/>
      <c r="M317" s="243"/>
      <c r="N317" s="243"/>
      <c r="O317" s="243"/>
      <c r="P317" s="243"/>
      <c r="Q317" s="243"/>
      <c r="R317" s="243"/>
      <c r="S317" s="243"/>
      <c r="T317" s="243"/>
      <c r="U317" s="244"/>
      <c r="V317" s="87"/>
      <c r="W317" s="87"/>
      <c r="X317" s="87"/>
      <c r="Y317" s="87"/>
      <c r="Z317" s="87"/>
      <c r="AA317" s="87"/>
      <c r="AB317" s="87"/>
      <c r="AC317" s="87"/>
      <c r="AD317" s="87"/>
      <c r="AE317" s="87"/>
      <c r="AF317" s="87"/>
    </row>
    <row r="318" spans="3:32" ht="15.75" customHeight="1">
      <c r="C318" s="235"/>
      <c r="D318" s="236"/>
      <c r="E318" s="236"/>
      <c r="F318" s="236"/>
      <c r="G318" s="236"/>
      <c r="H318" s="236"/>
      <c r="I318" s="236"/>
      <c r="J318" s="236"/>
      <c r="K318" s="236"/>
      <c r="L318" s="242"/>
      <c r="M318" s="243"/>
      <c r="N318" s="243"/>
      <c r="O318" s="243"/>
      <c r="P318" s="243"/>
      <c r="Q318" s="243"/>
      <c r="R318" s="243"/>
      <c r="S318" s="243"/>
      <c r="T318" s="243"/>
      <c r="U318" s="244"/>
      <c r="V318" s="87"/>
      <c r="W318" s="87"/>
      <c r="X318" s="87"/>
      <c r="Y318" s="87"/>
      <c r="Z318" s="87"/>
      <c r="AA318" s="87"/>
      <c r="AB318" s="87"/>
      <c r="AC318" s="87"/>
      <c r="AD318" s="87"/>
      <c r="AE318" s="87"/>
      <c r="AF318" s="87"/>
    </row>
    <row r="319" spans="3:32" ht="15.75" customHeight="1">
      <c r="C319" s="235"/>
      <c r="D319" s="236"/>
      <c r="E319" s="236"/>
      <c r="F319" s="236"/>
      <c r="G319" s="236"/>
      <c r="H319" s="236"/>
      <c r="I319" s="236"/>
      <c r="J319" s="236"/>
      <c r="K319" s="236"/>
      <c r="L319" s="242"/>
      <c r="M319" s="243"/>
      <c r="N319" s="243"/>
      <c r="O319" s="243"/>
      <c r="P319" s="243"/>
      <c r="Q319" s="243"/>
      <c r="R319" s="243"/>
      <c r="S319" s="243"/>
      <c r="T319" s="243"/>
      <c r="U319" s="244"/>
      <c r="V319" s="87"/>
      <c r="W319" s="87"/>
      <c r="X319" s="87"/>
      <c r="Y319" s="87"/>
      <c r="Z319" s="87"/>
      <c r="AA319" s="87"/>
      <c r="AB319" s="87"/>
      <c r="AC319" s="87"/>
      <c r="AD319" s="87"/>
      <c r="AE319" s="87"/>
      <c r="AF319" s="87"/>
    </row>
    <row r="320" spans="3:32" ht="15.75" customHeight="1">
      <c r="C320" s="235"/>
      <c r="D320" s="236"/>
      <c r="E320" s="236"/>
      <c r="F320" s="236"/>
      <c r="G320" s="236"/>
      <c r="H320" s="236"/>
      <c r="I320" s="236"/>
      <c r="J320" s="236"/>
      <c r="K320" s="236"/>
      <c r="L320" s="242"/>
      <c r="M320" s="243"/>
      <c r="N320" s="243"/>
      <c r="O320" s="243"/>
      <c r="P320" s="243"/>
      <c r="Q320" s="243"/>
      <c r="R320" s="243"/>
      <c r="S320" s="243"/>
      <c r="T320" s="243"/>
      <c r="U320" s="244"/>
      <c r="V320" s="87"/>
      <c r="W320" s="87"/>
      <c r="X320" s="87"/>
      <c r="Y320" s="87"/>
      <c r="Z320" s="87"/>
      <c r="AA320" s="87"/>
      <c r="AB320" s="87"/>
      <c r="AC320" s="87"/>
      <c r="AD320" s="87"/>
      <c r="AE320" s="87"/>
      <c r="AF320" s="87"/>
    </row>
    <row r="321" spans="3:32" ht="15.75" customHeight="1" thickBot="1">
      <c r="C321" s="237"/>
      <c r="D321" s="238"/>
      <c r="E321" s="238"/>
      <c r="F321" s="238"/>
      <c r="G321" s="238"/>
      <c r="H321" s="238"/>
      <c r="I321" s="238"/>
      <c r="J321" s="238"/>
      <c r="K321" s="238"/>
      <c r="L321" s="245"/>
      <c r="M321" s="246"/>
      <c r="N321" s="246"/>
      <c r="O321" s="246"/>
      <c r="P321" s="246"/>
      <c r="Q321" s="246"/>
      <c r="R321" s="246"/>
      <c r="S321" s="246"/>
      <c r="T321" s="246"/>
      <c r="U321" s="247"/>
      <c r="V321" s="87"/>
      <c r="W321" s="87"/>
      <c r="X321" s="87"/>
      <c r="Y321" s="87"/>
      <c r="Z321" s="87"/>
      <c r="AA321" s="87"/>
      <c r="AB321" s="87"/>
      <c r="AC321" s="87"/>
      <c r="AD321" s="87"/>
      <c r="AE321" s="87"/>
      <c r="AF321" s="87"/>
    </row>
  </sheetData>
  <mergeCells count="173">
    <mergeCell ref="O57:W57"/>
    <mergeCell ref="D54:K54"/>
    <mergeCell ref="D55:K55"/>
    <mergeCell ref="D56:K56"/>
    <mergeCell ref="D57:K57"/>
    <mergeCell ref="C49:W51"/>
    <mergeCell ref="J52:Q53"/>
    <mergeCell ref="D44:K44"/>
    <mergeCell ref="O44:W44"/>
    <mergeCell ref="D45:K45"/>
    <mergeCell ref="O45:W45"/>
    <mergeCell ref="D46:K46"/>
    <mergeCell ref="O46:W46"/>
    <mergeCell ref="O54:W54"/>
    <mergeCell ref="O55:W55"/>
    <mergeCell ref="O56:W56"/>
    <mergeCell ref="C268:K277"/>
    <mergeCell ref="L268:U277"/>
    <mergeCell ref="C279:K288"/>
    <mergeCell ref="L279:U288"/>
    <mergeCell ref="C290:K299"/>
    <mergeCell ref="L290:U299"/>
    <mergeCell ref="C301:K310"/>
    <mergeCell ref="L301:U310"/>
    <mergeCell ref="C312:K321"/>
    <mergeCell ref="L312:U321"/>
    <mergeCell ref="C213:K222"/>
    <mergeCell ref="L213:U222"/>
    <mergeCell ref="C224:K233"/>
    <mergeCell ref="L224:U233"/>
    <mergeCell ref="C235:K244"/>
    <mergeCell ref="L235:U244"/>
    <mergeCell ref="C246:K255"/>
    <mergeCell ref="L246:U255"/>
    <mergeCell ref="C257:K266"/>
    <mergeCell ref="L257:U266"/>
    <mergeCell ref="C158:K167"/>
    <mergeCell ref="L158:U167"/>
    <mergeCell ref="C169:K178"/>
    <mergeCell ref="L169:U178"/>
    <mergeCell ref="C180:K189"/>
    <mergeCell ref="L180:U189"/>
    <mergeCell ref="C191:K200"/>
    <mergeCell ref="L191:U200"/>
    <mergeCell ref="C202:K211"/>
    <mergeCell ref="L202:U211"/>
    <mergeCell ref="J94:Q95"/>
    <mergeCell ref="R94:W95"/>
    <mergeCell ref="C91:W93"/>
    <mergeCell ref="D96:K96"/>
    <mergeCell ref="O96:W96"/>
    <mergeCell ref="C147:K156"/>
    <mergeCell ref="L147:U156"/>
    <mergeCell ref="R143:W144"/>
    <mergeCell ref="D145:K145"/>
    <mergeCell ref="O145:W145"/>
    <mergeCell ref="C133:W135"/>
    <mergeCell ref="J136:Q137"/>
    <mergeCell ref="R136:W137"/>
    <mergeCell ref="D138:K138"/>
    <mergeCell ref="O138:W138"/>
    <mergeCell ref="C126:W128"/>
    <mergeCell ref="J129:Q130"/>
    <mergeCell ref="R129:W130"/>
    <mergeCell ref="D131:K131"/>
    <mergeCell ref="O131:W131"/>
    <mergeCell ref="C119:W121"/>
    <mergeCell ref="C38:W40"/>
    <mergeCell ref="J41:Q42"/>
    <mergeCell ref="D43:K43"/>
    <mergeCell ref="O43:W43"/>
    <mergeCell ref="C35:J35"/>
    <mergeCell ref="N35:V35"/>
    <mergeCell ref="C36:J36"/>
    <mergeCell ref="N36:V36"/>
    <mergeCell ref="C32:J32"/>
    <mergeCell ref="N32:V32"/>
    <mergeCell ref="C33:J33"/>
    <mergeCell ref="N33:V33"/>
    <mergeCell ref="C34:J34"/>
    <mergeCell ref="N34:V34"/>
    <mergeCell ref="C31:J31"/>
    <mergeCell ref="N31:V31"/>
    <mergeCell ref="B24:V26"/>
    <mergeCell ref="I27:P28"/>
    <mergeCell ref="C15:J15"/>
    <mergeCell ref="C16:J16"/>
    <mergeCell ref="C17:J17"/>
    <mergeCell ref="C18:J18"/>
    <mergeCell ref="C19:J19"/>
    <mergeCell ref="C20:J20"/>
    <mergeCell ref="C12:J12"/>
    <mergeCell ref="N16:V16"/>
    <mergeCell ref="N17:V17"/>
    <mergeCell ref="N19:V19"/>
    <mergeCell ref="N20:V20"/>
    <mergeCell ref="N22:V22"/>
    <mergeCell ref="C29:J29"/>
    <mergeCell ref="N29:V29"/>
    <mergeCell ref="C30:J30"/>
    <mergeCell ref="N30:V30"/>
    <mergeCell ref="B2:V4"/>
    <mergeCell ref="I5:P6"/>
    <mergeCell ref="N9:V9"/>
    <mergeCell ref="C140:W142"/>
    <mergeCell ref="J143:Q144"/>
    <mergeCell ref="J122:Q123"/>
    <mergeCell ref="R122:W123"/>
    <mergeCell ref="D124:K124"/>
    <mergeCell ref="O124:W124"/>
    <mergeCell ref="C105:W107"/>
    <mergeCell ref="J108:Q109"/>
    <mergeCell ref="R108:W109"/>
    <mergeCell ref="D117:K117"/>
    <mergeCell ref="O117:W117"/>
    <mergeCell ref="J115:Q116"/>
    <mergeCell ref="R115:W116"/>
    <mergeCell ref="C112:W114"/>
    <mergeCell ref="C98:W100"/>
    <mergeCell ref="J101:Q102"/>
    <mergeCell ref="R101:W102"/>
    <mergeCell ref="D103:K103"/>
    <mergeCell ref="O103:W103"/>
    <mergeCell ref="O110:W110"/>
    <mergeCell ref="D110:K110"/>
    <mergeCell ref="O89:W89"/>
    <mergeCell ref="C83:W85"/>
    <mergeCell ref="J86:Q87"/>
    <mergeCell ref="U86:W87"/>
    <mergeCell ref="J62:Q63"/>
    <mergeCell ref="O64:W64"/>
    <mergeCell ref="O65:W65"/>
    <mergeCell ref="D88:K88"/>
    <mergeCell ref="D89:K89"/>
    <mergeCell ref="O88:W88"/>
    <mergeCell ref="D72:K72"/>
    <mergeCell ref="O72:W72"/>
    <mergeCell ref="D73:K73"/>
    <mergeCell ref="O73:W73"/>
    <mergeCell ref="C67:W69"/>
    <mergeCell ref="J70:Q71"/>
    <mergeCell ref="U70:W71"/>
    <mergeCell ref="C75:W77"/>
    <mergeCell ref="J78:Q79"/>
    <mergeCell ref="U78:W79"/>
    <mergeCell ref="D80:K80"/>
    <mergeCell ref="O80:W80"/>
    <mergeCell ref="D81:K81"/>
    <mergeCell ref="O81:W81"/>
    <mergeCell ref="B5:H6"/>
    <mergeCell ref="Q5:V6"/>
    <mergeCell ref="C59:W61"/>
    <mergeCell ref="D64:K64"/>
    <mergeCell ref="D65:K65"/>
    <mergeCell ref="N7:V7"/>
    <mergeCell ref="N8:V8"/>
    <mergeCell ref="N10:V10"/>
    <mergeCell ref="N11:V11"/>
    <mergeCell ref="N13:V13"/>
    <mergeCell ref="N14:V14"/>
    <mergeCell ref="C7:J7"/>
    <mergeCell ref="C8:J8"/>
    <mergeCell ref="C9:J9"/>
    <mergeCell ref="C10:J10"/>
    <mergeCell ref="C11:J11"/>
    <mergeCell ref="N21:V21"/>
    <mergeCell ref="C21:J21"/>
    <mergeCell ref="C22:J22"/>
    <mergeCell ref="N15:V15"/>
    <mergeCell ref="N18:V18"/>
    <mergeCell ref="C13:J13"/>
    <mergeCell ref="C14:J14"/>
    <mergeCell ref="N12:V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T44"/>
  <sheetViews>
    <sheetView showGridLines="0" showRowColHeaders="0" workbookViewId="0">
      <selection activeCell="D11" sqref="D11"/>
    </sheetView>
  </sheetViews>
  <sheetFormatPr defaultRowHeight="15"/>
  <cols>
    <col min="2" max="2" width="4.7109375" bestFit="1" customWidth="1"/>
    <col min="3" max="3" width="24.85546875" bestFit="1" customWidth="1"/>
    <col min="14" max="14" width="5.140625" customWidth="1"/>
    <col min="15" max="15" width="6" customWidth="1"/>
    <col min="16" max="16" width="14.28515625" bestFit="1" customWidth="1"/>
  </cols>
  <sheetData>
    <row r="1" spans="1:19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</row>
    <row r="2" spans="1:19">
      <c r="A2" s="104"/>
      <c r="B2" s="105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104"/>
      <c r="R2" s="104"/>
      <c r="S2" s="104"/>
    </row>
    <row r="3" spans="1:19" ht="15" customHeight="1" thickBot="1">
      <c r="A3" s="104"/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7"/>
      <c r="P3" s="107"/>
      <c r="Q3" s="104"/>
      <c r="R3" s="104"/>
      <c r="S3" s="104"/>
    </row>
    <row r="4" spans="1:19" ht="15" customHeight="1">
      <c r="A4" s="104"/>
      <c r="B4" s="198" t="s">
        <v>262</v>
      </c>
      <c r="C4" s="199"/>
      <c r="D4" s="199"/>
      <c r="E4" s="199"/>
      <c r="F4" s="199"/>
      <c r="G4" s="199"/>
      <c r="H4" s="199"/>
      <c r="I4" s="199"/>
      <c r="J4" s="199"/>
      <c r="K4" s="199"/>
      <c r="L4" s="199"/>
      <c r="M4" s="200"/>
      <c r="N4" s="106"/>
      <c r="O4" s="107"/>
      <c r="P4" s="107"/>
      <c r="Q4" s="104"/>
      <c r="R4" s="104"/>
      <c r="S4" s="104"/>
    </row>
    <row r="5" spans="1:19" ht="15.75" thickBot="1">
      <c r="A5" s="104"/>
      <c r="B5" s="204"/>
      <c r="C5" s="205"/>
      <c r="D5" s="205"/>
      <c r="E5" s="205"/>
      <c r="F5" s="205"/>
      <c r="G5" s="205"/>
      <c r="H5" s="205"/>
      <c r="I5" s="205"/>
      <c r="J5" s="205"/>
      <c r="K5" s="205"/>
      <c r="L5" s="205"/>
      <c r="M5" s="206"/>
      <c r="N5" s="108"/>
      <c r="O5" s="107"/>
      <c r="P5" s="107"/>
      <c r="Q5" s="104"/>
      <c r="R5" s="104"/>
      <c r="S5" s="104"/>
    </row>
    <row r="6" spans="1:19" ht="15.75" thickBot="1">
      <c r="A6" s="104"/>
      <c r="B6" s="117" t="s">
        <v>0</v>
      </c>
      <c r="C6" s="118" t="s">
        <v>1</v>
      </c>
      <c r="D6" s="118" t="s">
        <v>21</v>
      </c>
      <c r="E6" s="118" t="s">
        <v>2</v>
      </c>
      <c r="F6" s="118" t="s">
        <v>22</v>
      </c>
      <c r="G6" s="118" t="s">
        <v>23</v>
      </c>
      <c r="H6" s="118" t="s">
        <v>24</v>
      </c>
      <c r="I6" s="118" t="s">
        <v>25</v>
      </c>
      <c r="J6" s="118" t="s">
        <v>27</v>
      </c>
      <c r="K6" s="118" t="s">
        <v>3</v>
      </c>
      <c r="L6" s="118" t="s">
        <v>4</v>
      </c>
      <c r="M6" s="119" t="s">
        <v>26</v>
      </c>
      <c r="N6" s="109"/>
      <c r="O6" s="107"/>
      <c r="P6" s="107"/>
      <c r="Q6" s="104"/>
      <c r="R6" s="104"/>
      <c r="S6" s="104"/>
    </row>
    <row r="7" spans="1:19">
      <c r="A7" s="104"/>
      <c r="B7" s="8" t="s">
        <v>13</v>
      </c>
      <c r="C7" s="9" t="str">
        <f>VLOOKUP(P23,$B$23:$O$36,2)</f>
        <v>Kappa Trentino</v>
      </c>
      <c r="D7" s="9">
        <f>VLOOKUP(P23,$B$23:$O$36,3)</f>
        <v>3</v>
      </c>
      <c r="E7" s="9">
        <f>VLOOKUP(P23,$B$23:$O$36,4)</f>
        <v>4</v>
      </c>
      <c r="F7" s="10">
        <f>VLOOKUP(P23,$B$23:$O$36,5)</f>
        <v>0</v>
      </c>
      <c r="G7" s="10">
        <f>VLOOKUP(P23,$B$23:$O$36,6)</f>
        <v>2</v>
      </c>
      <c r="H7" s="10">
        <f>VLOOKUP(P23,$B$23:$O$36,7)</f>
        <v>0</v>
      </c>
      <c r="I7" s="10">
        <f>VLOOKUP(P23,$B$23:$O$36,8)</f>
        <v>1</v>
      </c>
      <c r="J7" s="10">
        <f>VLOOKUP(P23,$B$23:$O$36,9)</f>
        <v>176</v>
      </c>
      <c r="K7" s="10">
        <f>VLOOKUP(P23,$B$23:$O$36,10)</f>
        <v>179</v>
      </c>
      <c r="L7" s="9">
        <f>VLOOKUP(P23,$B$23:$O$36,11)</f>
        <v>-3</v>
      </c>
      <c r="M7" s="16">
        <f>VLOOKUP(P23,$B$23:$O$36,12)</f>
        <v>0.44444444444444442</v>
      </c>
      <c r="N7" s="109"/>
      <c r="Q7" s="104"/>
      <c r="R7" s="104"/>
      <c r="S7" s="104"/>
    </row>
    <row r="8" spans="1:19">
      <c r="A8" s="104"/>
      <c r="B8" s="11" t="s">
        <v>15</v>
      </c>
      <c r="C8" s="9" t="str">
        <f t="shared" ref="C8:C20" si="0">VLOOKUP(P24,$B$23:$O$36,2)</f>
        <v>tremembe city</v>
      </c>
      <c r="D8" s="9">
        <f t="shared" ref="D8:D20" si="1">VLOOKUP(P24,$B$23:$O$36,3)</f>
        <v>3</v>
      </c>
      <c r="E8" s="9">
        <f t="shared" ref="E8:E20" si="2">VLOOKUP(P24,$B$23:$O$36,4)</f>
        <v>4</v>
      </c>
      <c r="F8" s="10">
        <f t="shared" ref="F8:F20" si="3">VLOOKUP(P24,$B$23:$O$36,5)</f>
        <v>1</v>
      </c>
      <c r="G8" s="10">
        <f t="shared" ref="G8:G20" si="4">VLOOKUP(P24,$B$23:$O$36,6)</f>
        <v>0</v>
      </c>
      <c r="H8" s="10">
        <f t="shared" ref="H8:H20" si="5">VLOOKUP(P24,$B$23:$O$36,7)</f>
        <v>1</v>
      </c>
      <c r="I8" s="10">
        <f t="shared" ref="I8:I20" si="6">VLOOKUP(P24,$B$23:$O$36,8)</f>
        <v>1</v>
      </c>
      <c r="J8" s="10">
        <f t="shared" ref="J8:J20" si="7">VLOOKUP(P24,$B$23:$O$36,9)</f>
        <v>109</v>
      </c>
      <c r="K8" s="10">
        <f t="shared" ref="K8:K20" si="8">VLOOKUP(P24,$B$23:$O$36,10)</f>
        <v>107</v>
      </c>
      <c r="L8" s="9">
        <f t="shared" ref="L8:L20" si="9">VLOOKUP(P24,$B$23:$O$36,11)</f>
        <v>2</v>
      </c>
      <c r="M8" s="16">
        <f t="shared" ref="M8:M20" si="10">VLOOKUP(P24,$B$23:$O$36,12)</f>
        <v>0.44444444444444442</v>
      </c>
      <c r="N8" s="109"/>
      <c r="Q8" s="104"/>
      <c r="R8" s="104"/>
      <c r="S8" s="104"/>
    </row>
    <row r="9" spans="1:19">
      <c r="A9" s="104"/>
      <c r="B9" s="11" t="s">
        <v>16</v>
      </c>
      <c r="C9" s="9" t="str">
        <f t="shared" si="0"/>
        <v>Real Madrid football clube</v>
      </c>
      <c r="D9" s="9">
        <f t="shared" si="1"/>
        <v>3</v>
      </c>
      <c r="E9" s="9">
        <f t="shared" si="2"/>
        <v>3</v>
      </c>
      <c r="F9" s="10">
        <f t="shared" si="3"/>
        <v>1</v>
      </c>
      <c r="G9" s="10">
        <f t="shared" si="4"/>
        <v>0</v>
      </c>
      <c r="H9" s="10">
        <f t="shared" si="5"/>
        <v>0</v>
      </c>
      <c r="I9" s="10">
        <f t="shared" si="6"/>
        <v>2</v>
      </c>
      <c r="J9" s="10">
        <f t="shared" si="7"/>
        <v>162</v>
      </c>
      <c r="K9" s="10">
        <f t="shared" si="8"/>
        <v>168</v>
      </c>
      <c r="L9" s="9">
        <f t="shared" si="9"/>
        <v>-6</v>
      </c>
      <c r="M9" s="16">
        <f t="shared" si="10"/>
        <v>0.33333333333333331</v>
      </c>
      <c r="N9" s="109"/>
      <c r="O9" s="107"/>
      <c r="P9" s="107"/>
      <c r="Q9" s="104"/>
      <c r="R9" s="104"/>
      <c r="S9" s="104"/>
    </row>
    <row r="10" spans="1:19" ht="15.75" thickBot="1">
      <c r="A10" s="104"/>
      <c r="B10" s="11" t="s">
        <v>17</v>
      </c>
      <c r="C10" s="9" t="str">
        <f t="shared" si="0"/>
        <v>Valquerato</v>
      </c>
      <c r="D10" s="9">
        <f t="shared" si="1"/>
        <v>3</v>
      </c>
      <c r="E10" s="9">
        <f t="shared" si="2"/>
        <v>3</v>
      </c>
      <c r="F10" s="10">
        <f t="shared" si="3"/>
        <v>1</v>
      </c>
      <c r="G10" s="10">
        <f t="shared" si="4"/>
        <v>0</v>
      </c>
      <c r="H10" s="10">
        <f t="shared" si="5"/>
        <v>0</v>
      </c>
      <c r="I10" s="10">
        <f t="shared" si="6"/>
        <v>2</v>
      </c>
      <c r="J10" s="10">
        <f t="shared" si="7"/>
        <v>157</v>
      </c>
      <c r="K10" s="10">
        <f t="shared" si="8"/>
        <v>152</v>
      </c>
      <c r="L10" s="9">
        <f t="shared" si="9"/>
        <v>5</v>
      </c>
      <c r="M10" s="16">
        <f t="shared" si="10"/>
        <v>0.33333333333333331</v>
      </c>
      <c r="N10" s="109"/>
      <c r="O10" s="107"/>
      <c r="P10" s="107"/>
      <c r="Q10" s="104"/>
      <c r="R10" s="104"/>
      <c r="S10" s="104"/>
    </row>
    <row r="11" spans="1:19" ht="15.75" thickBot="1">
      <c r="A11" s="104"/>
      <c r="B11" s="110" t="s">
        <v>263</v>
      </c>
      <c r="C11" s="37" t="str">
        <f t="shared" si="0"/>
        <v>Maldry F.C</v>
      </c>
      <c r="D11" s="37">
        <f t="shared" si="1"/>
        <v>3</v>
      </c>
      <c r="E11" s="37">
        <f t="shared" si="2"/>
        <v>3</v>
      </c>
      <c r="F11" s="38">
        <f t="shared" si="3"/>
        <v>1</v>
      </c>
      <c r="G11" s="38">
        <f t="shared" si="4"/>
        <v>0</v>
      </c>
      <c r="H11" s="38">
        <f t="shared" si="5"/>
        <v>0</v>
      </c>
      <c r="I11" s="38">
        <f t="shared" si="6"/>
        <v>2</v>
      </c>
      <c r="J11" s="38">
        <f t="shared" si="7"/>
        <v>155</v>
      </c>
      <c r="K11" s="38">
        <f t="shared" si="8"/>
        <v>139</v>
      </c>
      <c r="L11" s="37">
        <f t="shared" si="9"/>
        <v>16</v>
      </c>
      <c r="M11" s="39">
        <f t="shared" si="10"/>
        <v>0.33333333333333331</v>
      </c>
      <c r="N11" s="109"/>
      <c r="O11" s="111"/>
      <c r="P11" s="112" t="s">
        <v>264</v>
      </c>
      <c r="Q11" s="104"/>
      <c r="R11" s="104"/>
      <c r="S11" s="104"/>
    </row>
    <row r="12" spans="1:19" ht="15.75" thickBot="1">
      <c r="A12" s="104"/>
      <c r="B12" s="110" t="s">
        <v>265</v>
      </c>
      <c r="C12" s="37" t="str">
        <f t="shared" si="0"/>
        <v>Starmalas.F.C.</v>
      </c>
      <c r="D12" s="37">
        <f t="shared" si="1"/>
        <v>3</v>
      </c>
      <c r="E12" s="37">
        <f t="shared" si="2"/>
        <v>3</v>
      </c>
      <c r="F12" s="38">
        <f t="shared" si="3"/>
        <v>1</v>
      </c>
      <c r="G12" s="38">
        <f t="shared" si="4"/>
        <v>0</v>
      </c>
      <c r="H12" s="38">
        <f t="shared" si="5"/>
        <v>0</v>
      </c>
      <c r="I12" s="38">
        <f t="shared" si="6"/>
        <v>2</v>
      </c>
      <c r="J12" s="38">
        <f t="shared" si="7"/>
        <v>142</v>
      </c>
      <c r="K12" s="38">
        <f t="shared" si="8"/>
        <v>144</v>
      </c>
      <c r="L12" s="37">
        <f t="shared" si="9"/>
        <v>-2</v>
      </c>
      <c r="M12" s="39">
        <f t="shared" si="10"/>
        <v>0.33333333333333331</v>
      </c>
      <c r="N12" s="107"/>
      <c r="O12" s="113"/>
      <c r="P12" s="112" t="s">
        <v>266</v>
      </c>
      <c r="Q12" s="104"/>
      <c r="R12" s="104"/>
      <c r="S12" s="104"/>
    </row>
    <row r="13" spans="1:19">
      <c r="A13" s="104"/>
      <c r="B13" s="110" t="s">
        <v>267</v>
      </c>
      <c r="C13" s="37" t="str">
        <f t="shared" si="0"/>
        <v>Sallen CRVG FC</v>
      </c>
      <c r="D13" s="37">
        <f t="shared" si="1"/>
        <v>3</v>
      </c>
      <c r="E13" s="37">
        <f t="shared" si="2"/>
        <v>3</v>
      </c>
      <c r="F13" s="38">
        <f t="shared" si="3"/>
        <v>0</v>
      </c>
      <c r="G13" s="38">
        <f t="shared" si="4"/>
        <v>1</v>
      </c>
      <c r="H13" s="38">
        <f t="shared" si="5"/>
        <v>1</v>
      </c>
      <c r="I13" s="38">
        <f t="shared" si="6"/>
        <v>1</v>
      </c>
      <c r="J13" s="38">
        <f t="shared" si="7"/>
        <v>140</v>
      </c>
      <c r="K13" s="38">
        <f t="shared" si="8"/>
        <v>133</v>
      </c>
      <c r="L13" s="37">
        <f t="shared" si="9"/>
        <v>7</v>
      </c>
      <c r="M13" s="39">
        <f t="shared" si="10"/>
        <v>0.33333333333333331</v>
      </c>
      <c r="N13" s="114"/>
      <c r="O13" s="115"/>
      <c r="P13" s="116"/>
      <c r="Q13" s="104"/>
      <c r="R13" s="104"/>
      <c r="S13" s="104"/>
    </row>
    <row r="14" spans="1:19">
      <c r="A14" s="104"/>
      <c r="B14" s="110" t="s">
        <v>268</v>
      </c>
      <c r="C14" s="37" t="str">
        <f t="shared" si="0"/>
        <v>Maximum EC</v>
      </c>
      <c r="D14" s="37">
        <f t="shared" si="1"/>
        <v>3</v>
      </c>
      <c r="E14" s="37">
        <f t="shared" si="2"/>
        <v>3</v>
      </c>
      <c r="F14" s="38">
        <f t="shared" si="3"/>
        <v>1</v>
      </c>
      <c r="G14" s="38">
        <f t="shared" si="4"/>
        <v>0</v>
      </c>
      <c r="H14" s="38">
        <f t="shared" si="5"/>
        <v>0</v>
      </c>
      <c r="I14" s="38">
        <f t="shared" si="6"/>
        <v>2</v>
      </c>
      <c r="J14" s="38">
        <f t="shared" si="7"/>
        <v>140</v>
      </c>
      <c r="K14" s="38">
        <f t="shared" si="8"/>
        <v>156</v>
      </c>
      <c r="L14" s="37">
        <f t="shared" si="9"/>
        <v>-16</v>
      </c>
      <c r="M14" s="39">
        <f t="shared" si="10"/>
        <v>0.33333333333333331</v>
      </c>
      <c r="N14" s="114"/>
      <c r="O14" s="115"/>
      <c r="P14" s="116"/>
      <c r="Q14" s="104"/>
      <c r="R14" s="104"/>
      <c r="S14" s="104"/>
    </row>
    <row r="15" spans="1:19">
      <c r="A15" s="104"/>
      <c r="B15" s="110" t="s">
        <v>269</v>
      </c>
      <c r="C15" s="37" t="str">
        <f t="shared" si="0"/>
        <v>Grajaú C.F.</v>
      </c>
      <c r="D15" s="37">
        <f t="shared" si="1"/>
        <v>3</v>
      </c>
      <c r="E15" s="37">
        <f t="shared" si="2"/>
        <v>3</v>
      </c>
      <c r="F15" s="38">
        <f t="shared" si="3"/>
        <v>1</v>
      </c>
      <c r="G15" s="38">
        <f t="shared" si="4"/>
        <v>0</v>
      </c>
      <c r="H15" s="38">
        <f t="shared" si="5"/>
        <v>0</v>
      </c>
      <c r="I15" s="38">
        <f t="shared" si="6"/>
        <v>2</v>
      </c>
      <c r="J15" s="38">
        <f t="shared" si="7"/>
        <v>131</v>
      </c>
      <c r="K15" s="38">
        <f t="shared" si="8"/>
        <v>151</v>
      </c>
      <c r="L15" s="37">
        <f t="shared" si="9"/>
        <v>-20</v>
      </c>
      <c r="M15" s="39">
        <f t="shared" si="10"/>
        <v>0.33333333333333331</v>
      </c>
      <c r="N15" s="114"/>
      <c r="O15" s="115"/>
      <c r="P15" s="116"/>
      <c r="Q15" s="104"/>
      <c r="R15" s="104"/>
      <c r="S15" s="104"/>
    </row>
    <row r="16" spans="1:19">
      <c r="A16" s="104"/>
      <c r="B16" s="110" t="s">
        <v>270</v>
      </c>
      <c r="C16" s="37" t="str">
        <f t="shared" si="0"/>
        <v xml:space="preserve">Paris S. Aracanguain </v>
      </c>
      <c r="D16" s="37">
        <f t="shared" si="1"/>
        <v>3</v>
      </c>
      <c r="E16" s="37">
        <f t="shared" si="2"/>
        <v>3</v>
      </c>
      <c r="F16" s="38">
        <f t="shared" si="3"/>
        <v>1</v>
      </c>
      <c r="G16" s="38">
        <f t="shared" si="4"/>
        <v>0</v>
      </c>
      <c r="H16" s="38">
        <f t="shared" si="5"/>
        <v>0</v>
      </c>
      <c r="I16" s="38">
        <f t="shared" si="6"/>
        <v>2</v>
      </c>
      <c r="J16" s="38">
        <f t="shared" si="7"/>
        <v>130</v>
      </c>
      <c r="K16" s="38">
        <f t="shared" si="8"/>
        <v>142</v>
      </c>
      <c r="L16" s="37">
        <f t="shared" si="9"/>
        <v>-12</v>
      </c>
      <c r="M16" s="39">
        <f t="shared" si="10"/>
        <v>0.33333333333333331</v>
      </c>
      <c r="N16" s="114"/>
      <c r="O16" s="115"/>
      <c r="P16" s="116"/>
      <c r="Q16" s="104"/>
      <c r="R16" s="104"/>
      <c r="S16" s="104"/>
    </row>
    <row r="17" spans="1:20">
      <c r="A17" s="104"/>
      <c r="B17" s="110" t="s">
        <v>271</v>
      </c>
      <c r="C17" s="37" t="str">
        <f t="shared" si="0"/>
        <v>Kadosh o2</v>
      </c>
      <c r="D17" s="37">
        <f t="shared" si="1"/>
        <v>3</v>
      </c>
      <c r="E17" s="37">
        <f t="shared" si="2"/>
        <v>2</v>
      </c>
      <c r="F17" s="38">
        <f t="shared" si="3"/>
        <v>0</v>
      </c>
      <c r="G17" s="38">
        <f t="shared" si="4"/>
        <v>1</v>
      </c>
      <c r="H17" s="38">
        <f t="shared" si="5"/>
        <v>0</v>
      </c>
      <c r="I17" s="38">
        <f t="shared" si="6"/>
        <v>2</v>
      </c>
      <c r="J17" s="38">
        <f t="shared" si="7"/>
        <v>163</v>
      </c>
      <c r="K17" s="38">
        <f t="shared" si="8"/>
        <v>178</v>
      </c>
      <c r="L17" s="37">
        <f t="shared" si="9"/>
        <v>-15</v>
      </c>
      <c r="M17" s="39">
        <f t="shared" si="10"/>
        <v>0.22222222222222221</v>
      </c>
      <c r="N17" s="114"/>
      <c r="O17" s="115"/>
      <c r="P17" s="116"/>
      <c r="Q17" s="104"/>
      <c r="R17" s="104"/>
      <c r="S17" s="104"/>
    </row>
    <row r="18" spans="1:20">
      <c r="A18" s="104"/>
      <c r="B18" s="110" t="s">
        <v>272</v>
      </c>
      <c r="C18" s="37" t="str">
        <f t="shared" si="0"/>
        <v>huliganns SC</v>
      </c>
      <c r="D18" s="37">
        <f t="shared" si="1"/>
        <v>3</v>
      </c>
      <c r="E18" s="37">
        <f t="shared" si="2"/>
        <v>2</v>
      </c>
      <c r="F18" s="38">
        <f t="shared" si="3"/>
        <v>0</v>
      </c>
      <c r="G18" s="38">
        <f t="shared" si="4"/>
        <v>1</v>
      </c>
      <c r="H18" s="38">
        <f t="shared" si="5"/>
        <v>0</v>
      </c>
      <c r="I18" s="38">
        <f t="shared" si="6"/>
        <v>2</v>
      </c>
      <c r="J18" s="38">
        <f t="shared" si="7"/>
        <v>154</v>
      </c>
      <c r="K18" s="38">
        <f t="shared" si="8"/>
        <v>171</v>
      </c>
      <c r="L18" s="37">
        <f t="shared" si="9"/>
        <v>-17</v>
      </c>
      <c r="M18" s="39">
        <f t="shared" si="10"/>
        <v>0.22222222222222221</v>
      </c>
      <c r="N18" s="114"/>
      <c r="O18" s="115"/>
      <c r="P18" s="116"/>
      <c r="Q18" s="104"/>
      <c r="R18" s="104"/>
      <c r="S18" s="104"/>
    </row>
    <row r="19" spans="1:20">
      <c r="A19" s="104"/>
      <c r="B19" s="110" t="s">
        <v>273</v>
      </c>
      <c r="C19" s="37" t="str">
        <f t="shared" si="0"/>
        <v>Riquelminho F.C.</v>
      </c>
      <c r="D19" s="37">
        <f t="shared" si="1"/>
        <v>3</v>
      </c>
      <c r="E19" s="37">
        <f t="shared" si="2"/>
        <v>2</v>
      </c>
      <c r="F19" s="38">
        <f t="shared" si="3"/>
        <v>0</v>
      </c>
      <c r="G19" s="38">
        <f t="shared" si="4"/>
        <v>1</v>
      </c>
      <c r="H19" s="38">
        <f t="shared" si="5"/>
        <v>0</v>
      </c>
      <c r="I19" s="38">
        <f t="shared" si="6"/>
        <v>2</v>
      </c>
      <c r="J19" s="38">
        <f t="shared" si="7"/>
        <v>131</v>
      </c>
      <c r="K19" s="38">
        <f t="shared" si="8"/>
        <v>141</v>
      </c>
      <c r="L19" s="37">
        <f t="shared" si="9"/>
        <v>-10</v>
      </c>
      <c r="M19" s="39">
        <f t="shared" si="10"/>
        <v>0.22222222222222221</v>
      </c>
      <c r="N19" s="114"/>
      <c r="O19" s="115"/>
      <c r="P19" s="116"/>
      <c r="Q19" s="104"/>
      <c r="R19" s="104"/>
      <c r="S19" s="104"/>
    </row>
    <row r="20" spans="1:20" ht="15.75" thickBot="1">
      <c r="A20" s="104"/>
      <c r="B20" s="12" t="s">
        <v>274</v>
      </c>
      <c r="C20" s="27" t="str">
        <f t="shared" si="0"/>
        <v>Caveirão de Favela FC</v>
      </c>
      <c r="D20" s="27">
        <f t="shared" si="1"/>
        <v>3</v>
      </c>
      <c r="E20" s="27">
        <f t="shared" si="2"/>
        <v>2</v>
      </c>
      <c r="F20" s="28">
        <f t="shared" si="3"/>
        <v>0</v>
      </c>
      <c r="G20" s="28">
        <f t="shared" si="4"/>
        <v>1</v>
      </c>
      <c r="H20" s="28">
        <f t="shared" si="5"/>
        <v>0</v>
      </c>
      <c r="I20" s="28">
        <f t="shared" si="6"/>
        <v>2</v>
      </c>
      <c r="J20" s="28">
        <f t="shared" si="7"/>
        <v>95</v>
      </c>
      <c r="K20" s="28">
        <f t="shared" si="8"/>
        <v>134</v>
      </c>
      <c r="L20" s="27">
        <f t="shared" si="9"/>
        <v>-39</v>
      </c>
      <c r="M20" s="29">
        <f t="shared" si="10"/>
        <v>0.22222222222222221</v>
      </c>
      <c r="N20" s="114"/>
      <c r="O20" s="115"/>
      <c r="P20" s="116"/>
      <c r="Q20" s="104"/>
      <c r="R20" s="104"/>
      <c r="S20" s="104"/>
    </row>
    <row r="21" spans="1:20">
      <c r="A21" s="100"/>
      <c r="B21" s="108"/>
      <c r="C21" s="108"/>
      <c r="D21" s="108"/>
      <c r="E21" s="108"/>
      <c r="F21" s="144"/>
      <c r="G21" s="144"/>
      <c r="H21" s="144"/>
      <c r="I21" s="144"/>
      <c r="J21" s="144"/>
      <c r="K21" s="144"/>
      <c r="L21" s="108"/>
      <c r="M21" s="109"/>
      <c r="N21" s="145"/>
      <c r="O21" s="146"/>
      <c r="P21" s="147"/>
      <c r="Q21" s="100"/>
      <c r="R21" s="104"/>
      <c r="S21" s="104"/>
    </row>
    <row r="22" spans="1:20">
      <c r="A22" s="100"/>
      <c r="B22" s="101"/>
      <c r="C22" s="102" t="s">
        <v>36</v>
      </c>
      <c r="D22" s="103" t="s">
        <v>21</v>
      </c>
      <c r="E22" s="103" t="s">
        <v>2</v>
      </c>
      <c r="F22" s="103" t="s">
        <v>22</v>
      </c>
      <c r="G22" s="103" t="s">
        <v>23</v>
      </c>
      <c r="H22" s="103" t="s">
        <v>24</v>
      </c>
      <c r="I22" s="103" t="s">
        <v>25</v>
      </c>
      <c r="J22" s="103" t="s">
        <v>7</v>
      </c>
      <c r="K22" s="103" t="s">
        <v>8</v>
      </c>
      <c r="L22" s="103" t="s">
        <v>9</v>
      </c>
      <c r="M22" s="103" t="s">
        <v>26</v>
      </c>
      <c r="N22" s="45" t="s">
        <v>10</v>
      </c>
      <c r="O22" s="45" t="s">
        <v>11</v>
      </c>
      <c r="P22" s="45" t="s">
        <v>12</v>
      </c>
      <c r="Q22" s="100"/>
      <c r="R22" s="104"/>
      <c r="S22" s="104"/>
      <c r="T22" s="104"/>
    </row>
    <row r="23" spans="1:20">
      <c r="A23" s="100"/>
      <c r="B23" s="101">
        <v>1</v>
      </c>
      <c r="C23" s="101" t="str">
        <f>'2ª FASE'!E31</f>
        <v>tremembe city</v>
      </c>
      <c r="D23" s="101">
        <f>'2ª FASE'!F31</f>
        <v>3</v>
      </c>
      <c r="E23" s="101">
        <f>'2ª FASE'!G31</f>
        <v>4</v>
      </c>
      <c r="F23" s="101">
        <f>'2ª FASE'!H31</f>
        <v>1</v>
      </c>
      <c r="G23" s="101">
        <f>'2ª FASE'!I31</f>
        <v>0</v>
      </c>
      <c r="H23" s="101">
        <f>'2ª FASE'!J31</f>
        <v>1</v>
      </c>
      <c r="I23" s="101">
        <f>'2ª FASE'!K31</f>
        <v>1</v>
      </c>
      <c r="J23" s="101">
        <f>'2ª FASE'!L31</f>
        <v>109</v>
      </c>
      <c r="K23" s="101">
        <f>'2ª FASE'!M31</f>
        <v>107</v>
      </c>
      <c r="L23" s="101">
        <f>'2ª FASE'!N31</f>
        <v>2</v>
      </c>
      <c r="M23" s="101">
        <f>'2ª FASE'!O31</f>
        <v>0.44444444444444442</v>
      </c>
      <c r="N23" s="44">
        <f>(E23*10^15)+((J23+5000)*10^6)+L23*10+B23</f>
        <v>4000005109000021</v>
      </c>
      <c r="O23" s="44">
        <f>LARGE($N$23:$N$36,B23)</f>
        <v>4000005175999977</v>
      </c>
      <c r="P23" s="90">
        <f>MATCH(O23,$N$23:$N$36,0)</f>
        <v>7</v>
      </c>
      <c r="Q23" s="100"/>
      <c r="R23" s="104"/>
      <c r="S23" s="104"/>
      <c r="T23" s="104"/>
    </row>
    <row r="24" spans="1:20">
      <c r="A24" s="100"/>
      <c r="B24" s="101">
        <v>2</v>
      </c>
      <c r="C24" s="101" t="str">
        <f>'2ª FASE'!E63</f>
        <v>Grajaú C.F.</v>
      </c>
      <c r="D24" s="101">
        <f>'2ª FASE'!F63</f>
        <v>3</v>
      </c>
      <c r="E24" s="101">
        <f>'2ª FASE'!G63</f>
        <v>3</v>
      </c>
      <c r="F24" s="101">
        <f>'2ª FASE'!H63</f>
        <v>1</v>
      </c>
      <c r="G24" s="101">
        <f>'2ª FASE'!I63</f>
        <v>0</v>
      </c>
      <c r="H24" s="101">
        <f>'2ª FASE'!J63</f>
        <v>0</v>
      </c>
      <c r="I24" s="101">
        <f>'2ª FASE'!K63</f>
        <v>2</v>
      </c>
      <c r="J24" s="101">
        <f>'2ª FASE'!L63</f>
        <v>131</v>
      </c>
      <c r="K24" s="101">
        <f>'2ª FASE'!M63</f>
        <v>151</v>
      </c>
      <c r="L24" s="101">
        <f>'2ª FASE'!N63</f>
        <v>-20</v>
      </c>
      <c r="M24" s="101">
        <f>'2ª FASE'!O63</f>
        <v>0.33333333333333331</v>
      </c>
      <c r="N24" s="44">
        <f t="shared" ref="N24:N36" si="11">(E24*10^15)+((J24+5000)*10^6)+L24*10+B24</f>
        <v>3000005130999802</v>
      </c>
      <c r="O24" s="44">
        <f>LARGE($N$23:$N$36,B24)</f>
        <v>4000005109000021</v>
      </c>
      <c r="P24" s="90">
        <f>MATCH(O24,$N$23:$N$36,0)</f>
        <v>1</v>
      </c>
      <c r="Q24" s="100"/>
      <c r="R24" s="104"/>
      <c r="S24" s="104"/>
      <c r="T24" s="104"/>
    </row>
    <row r="25" spans="1:20">
      <c r="A25" s="100"/>
      <c r="B25" s="101">
        <v>3</v>
      </c>
      <c r="C25" s="101" t="str">
        <f>'2ª FASE'!E95</f>
        <v>Real Madrid football clube</v>
      </c>
      <c r="D25" s="101">
        <f>'2ª FASE'!F95</f>
        <v>3</v>
      </c>
      <c r="E25" s="101">
        <f>'2ª FASE'!G95</f>
        <v>3</v>
      </c>
      <c r="F25" s="101">
        <f>'2ª FASE'!H95</f>
        <v>1</v>
      </c>
      <c r="G25" s="101">
        <f>'2ª FASE'!I95</f>
        <v>0</v>
      </c>
      <c r="H25" s="101">
        <f>'2ª FASE'!J95</f>
        <v>0</v>
      </c>
      <c r="I25" s="101">
        <f>'2ª FASE'!K95</f>
        <v>2</v>
      </c>
      <c r="J25" s="101">
        <f>'2ª FASE'!L95</f>
        <v>162</v>
      </c>
      <c r="K25" s="101">
        <f>'2ª FASE'!M95</f>
        <v>168</v>
      </c>
      <c r="L25" s="101">
        <f>'2ª FASE'!N95</f>
        <v>-6</v>
      </c>
      <c r="M25" s="101">
        <f>'2ª FASE'!O95</f>
        <v>0.33333333333333331</v>
      </c>
      <c r="N25" s="44">
        <f t="shared" si="11"/>
        <v>3000005161999943</v>
      </c>
      <c r="O25" s="44">
        <f t="shared" ref="O25:O36" si="12">LARGE($N$23:$N$36,B25)</f>
        <v>3000005161999943</v>
      </c>
      <c r="P25" s="90">
        <f t="shared" ref="P25:P36" si="13">MATCH(O25,$N$23:$N$36,0)</f>
        <v>3</v>
      </c>
      <c r="Q25" s="100"/>
      <c r="R25" s="104"/>
      <c r="S25" s="104"/>
      <c r="T25" s="104"/>
    </row>
    <row r="26" spans="1:20">
      <c r="A26" s="100"/>
      <c r="B26" s="101">
        <v>4</v>
      </c>
      <c r="C26" s="101" t="str">
        <f>'2ª FASE'!E127</f>
        <v>Kadosh o2</v>
      </c>
      <c r="D26" s="101">
        <f>'2ª FASE'!F127</f>
        <v>3</v>
      </c>
      <c r="E26" s="101">
        <f>'2ª FASE'!G127</f>
        <v>2</v>
      </c>
      <c r="F26" s="101">
        <f>'2ª FASE'!H127</f>
        <v>0</v>
      </c>
      <c r="G26" s="101">
        <f>'2ª FASE'!I127</f>
        <v>1</v>
      </c>
      <c r="H26" s="101">
        <f>'2ª FASE'!J127</f>
        <v>0</v>
      </c>
      <c r="I26" s="101">
        <f>'2ª FASE'!K127</f>
        <v>2</v>
      </c>
      <c r="J26" s="101">
        <f>'2ª FASE'!L127</f>
        <v>163</v>
      </c>
      <c r="K26" s="101">
        <f>'2ª FASE'!M127</f>
        <v>178</v>
      </c>
      <c r="L26" s="101">
        <f>'2ª FASE'!N127</f>
        <v>-15</v>
      </c>
      <c r="M26" s="101">
        <f>'2ª FASE'!O127</f>
        <v>0.22222222222222221</v>
      </c>
      <c r="N26" s="44">
        <f t="shared" si="11"/>
        <v>2000005162999854</v>
      </c>
      <c r="O26" s="44">
        <f t="shared" si="12"/>
        <v>3000005157000064</v>
      </c>
      <c r="P26" s="90">
        <f t="shared" si="13"/>
        <v>14</v>
      </c>
      <c r="Q26" s="100"/>
      <c r="R26" s="104"/>
      <c r="S26" s="104"/>
      <c r="T26" s="104"/>
    </row>
    <row r="27" spans="1:20">
      <c r="A27" s="100"/>
      <c r="B27" s="101">
        <v>5</v>
      </c>
      <c r="C27" s="101" t="str">
        <f>'2ª FASE'!E159</f>
        <v>Maximum EC</v>
      </c>
      <c r="D27" s="101">
        <f>'2ª FASE'!F159</f>
        <v>3</v>
      </c>
      <c r="E27" s="101">
        <f>'2ª FASE'!G159</f>
        <v>3</v>
      </c>
      <c r="F27" s="101">
        <f>'2ª FASE'!H159</f>
        <v>1</v>
      </c>
      <c r="G27" s="101">
        <f>'2ª FASE'!I159</f>
        <v>0</v>
      </c>
      <c r="H27" s="101">
        <f>'2ª FASE'!J159</f>
        <v>0</v>
      </c>
      <c r="I27" s="101">
        <f>'2ª FASE'!K159</f>
        <v>2</v>
      </c>
      <c r="J27" s="101">
        <f>'2ª FASE'!L159</f>
        <v>140</v>
      </c>
      <c r="K27" s="101">
        <f>'2ª FASE'!M159</f>
        <v>156</v>
      </c>
      <c r="L27" s="101">
        <f>'2ª FASE'!N159</f>
        <v>-16</v>
      </c>
      <c r="M27" s="101">
        <f>'2ª FASE'!O159</f>
        <v>0.33333333333333331</v>
      </c>
      <c r="N27" s="44">
        <f t="shared" si="11"/>
        <v>3000005139999845</v>
      </c>
      <c r="O27" s="44">
        <f t="shared" si="12"/>
        <v>3000005155000172</v>
      </c>
      <c r="P27" s="90">
        <f t="shared" si="13"/>
        <v>12</v>
      </c>
      <c r="Q27" s="100"/>
      <c r="R27" s="104"/>
      <c r="S27" s="104"/>
      <c r="T27" s="104"/>
    </row>
    <row r="28" spans="1:20">
      <c r="A28" s="100"/>
      <c r="B28" s="101">
        <v>6</v>
      </c>
      <c r="C28" s="101" t="str">
        <f>'2ª FASE'!E191</f>
        <v>Sallen CRVG FC</v>
      </c>
      <c r="D28" s="101">
        <f>'2ª FASE'!F191</f>
        <v>3</v>
      </c>
      <c r="E28" s="101">
        <f>'2ª FASE'!G191</f>
        <v>3</v>
      </c>
      <c r="F28" s="101">
        <f>'2ª FASE'!H191</f>
        <v>0</v>
      </c>
      <c r="G28" s="101">
        <f>'2ª FASE'!I191</f>
        <v>1</v>
      </c>
      <c r="H28" s="101">
        <f>'2ª FASE'!J191</f>
        <v>1</v>
      </c>
      <c r="I28" s="101">
        <f>'2ª FASE'!K191</f>
        <v>1</v>
      </c>
      <c r="J28" s="101">
        <f>'2ª FASE'!L191</f>
        <v>140</v>
      </c>
      <c r="K28" s="101">
        <f>'2ª FASE'!M191</f>
        <v>133</v>
      </c>
      <c r="L28" s="101">
        <f>'2ª FASE'!N191</f>
        <v>7</v>
      </c>
      <c r="M28" s="101">
        <f>'2ª FASE'!O191</f>
        <v>0.33333333333333331</v>
      </c>
      <c r="N28" s="44">
        <f t="shared" si="11"/>
        <v>3000005140000076</v>
      </c>
      <c r="O28" s="44">
        <f t="shared" si="12"/>
        <v>3000005141999993</v>
      </c>
      <c r="P28" s="90">
        <f t="shared" si="13"/>
        <v>13</v>
      </c>
      <c r="Q28" s="100"/>
      <c r="R28" s="104"/>
      <c r="S28" s="104"/>
      <c r="T28" s="104"/>
    </row>
    <row r="29" spans="1:20">
      <c r="A29" s="100"/>
      <c r="B29" s="101">
        <v>7</v>
      </c>
      <c r="C29" s="100" t="str">
        <f>'2ª FASE'!E223</f>
        <v>Kappa Trentino</v>
      </c>
      <c r="D29" s="100">
        <f>'2ª FASE'!F223</f>
        <v>3</v>
      </c>
      <c r="E29" s="100">
        <f>'2ª FASE'!G223</f>
        <v>4</v>
      </c>
      <c r="F29" s="100">
        <f>'2ª FASE'!H223</f>
        <v>0</v>
      </c>
      <c r="G29" s="100">
        <f>'2ª FASE'!I223</f>
        <v>2</v>
      </c>
      <c r="H29" s="100">
        <f>'2ª FASE'!J223</f>
        <v>0</v>
      </c>
      <c r="I29" s="100">
        <f>'2ª FASE'!K223</f>
        <v>1</v>
      </c>
      <c r="J29" s="100">
        <f>'2ª FASE'!L223</f>
        <v>176</v>
      </c>
      <c r="K29" s="100">
        <f>'2ª FASE'!M223</f>
        <v>179</v>
      </c>
      <c r="L29" s="100">
        <f>'2ª FASE'!N223</f>
        <v>-3</v>
      </c>
      <c r="M29" s="100">
        <f>'2ª FASE'!O223</f>
        <v>0.44444444444444442</v>
      </c>
      <c r="N29" s="44">
        <f t="shared" si="11"/>
        <v>4000005175999977</v>
      </c>
      <c r="O29" s="44">
        <f t="shared" si="12"/>
        <v>3000005140000076</v>
      </c>
      <c r="P29" s="90">
        <f t="shared" si="13"/>
        <v>6</v>
      </c>
      <c r="Q29" s="100"/>
      <c r="R29" s="104"/>
      <c r="S29" s="104"/>
      <c r="T29" s="104"/>
    </row>
    <row r="30" spans="1:20">
      <c r="A30" s="100"/>
      <c r="B30" s="101">
        <v>8</v>
      </c>
      <c r="C30" s="100" t="str">
        <f>'2ª FASE'!E255</f>
        <v>Caveirão de Favela FC</v>
      </c>
      <c r="D30" s="100">
        <f>'2ª FASE'!F255</f>
        <v>3</v>
      </c>
      <c r="E30" s="100">
        <f>'2ª FASE'!G255</f>
        <v>2</v>
      </c>
      <c r="F30" s="100">
        <f>'2ª FASE'!H255</f>
        <v>0</v>
      </c>
      <c r="G30" s="100">
        <f>'2ª FASE'!I255</f>
        <v>1</v>
      </c>
      <c r="H30" s="100">
        <f>'2ª FASE'!J255</f>
        <v>0</v>
      </c>
      <c r="I30" s="100">
        <f>'2ª FASE'!K255</f>
        <v>2</v>
      </c>
      <c r="J30" s="100">
        <f>'2ª FASE'!L255</f>
        <v>95</v>
      </c>
      <c r="K30" s="100">
        <f>'2ª FASE'!M255</f>
        <v>134</v>
      </c>
      <c r="L30" s="100">
        <f>'2ª FASE'!N255</f>
        <v>-39</v>
      </c>
      <c r="M30" s="100">
        <f>'2ª FASE'!O255</f>
        <v>0.22222222222222221</v>
      </c>
      <c r="N30" s="44">
        <f t="shared" si="11"/>
        <v>2000005094999618</v>
      </c>
      <c r="O30" s="44">
        <f t="shared" si="12"/>
        <v>3000005139999845</v>
      </c>
      <c r="P30" s="90">
        <f t="shared" si="13"/>
        <v>5</v>
      </c>
      <c r="Q30" s="100"/>
      <c r="R30" s="104"/>
      <c r="S30" s="104"/>
      <c r="T30" s="104"/>
    </row>
    <row r="31" spans="1:20">
      <c r="A31" s="100"/>
      <c r="B31" s="101">
        <v>9</v>
      </c>
      <c r="C31" s="100" t="str">
        <f>'2ª FASE'!E287</f>
        <v>huliganns SC</v>
      </c>
      <c r="D31" s="100">
        <f>'2ª FASE'!F287</f>
        <v>3</v>
      </c>
      <c r="E31" s="100">
        <f>'2ª FASE'!G287</f>
        <v>2</v>
      </c>
      <c r="F31" s="100">
        <f>'2ª FASE'!H287</f>
        <v>0</v>
      </c>
      <c r="G31" s="100">
        <f>'2ª FASE'!I287</f>
        <v>1</v>
      </c>
      <c r="H31" s="100">
        <f>'2ª FASE'!J287</f>
        <v>0</v>
      </c>
      <c r="I31" s="100">
        <f>'2ª FASE'!K287</f>
        <v>2</v>
      </c>
      <c r="J31" s="100">
        <f>'2ª FASE'!L287</f>
        <v>154</v>
      </c>
      <c r="K31" s="100">
        <f>'2ª FASE'!M287</f>
        <v>171</v>
      </c>
      <c r="L31" s="100">
        <f>'2ª FASE'!N287</f>
        <v>-17</v>
      </c>
      <c r="M31" s="100">
        <f>'2ª FASE'!O287</f>
        <v>0.22222222222222221</v>
      </c>
      <c r="N31" s="44">
        <f t="shared" si="11"/>
        <v>2000005153999839</v>
      </c>
      <c r="O31" s="44">
        <f t="shared" si="12"/>
        <v>3000005130999802</v>
      </c>
      <c r="P31" s="90">
        <f t="shared" si="13"/>
        <v>2</v>
      </c>
      <c r="Q31" s="100"/>
      <c r="R31" s="104"/>
      <c r="S31" s="104"/>
      <c r="T31" s="104"/>
    </row>
    <row r="32" spans="1:20">
      <c r="A32" s="100"/>
      <c r="B32" s="101">
        <v>10</v>
      </c>
      <c r="C32" s="100" t="str">
        <f>'2ª FASE'!E319</f>
        <v>Riquelminho F.C.</v>
      </c>
      <c r="D32" s="100">
        <f>'2ª FASE'!F319</f>
        <v>3</v>
      </c>
      <c r="E32" s="100">
        <f>'2ª FASE'!G319</f>
        <v>2</v>
      </c>
      <c r="F32" s="100">
        <f>'2ª FASE'!H319</f>
        <v>0</v>
      </c>
      <c r="G32" s="100">
        <f>'2ª FASE'!I319</f>
        <v>1</v>
      </c>
      <c r="H32" s="100">
        <f>'2ª FASE'!J319</f>
        <v>0</v>
      </c>
      <c r="I32" s="100">
        <f>'2ª FASE'!K319</f>
        <v>2</v>
      </c>
      <c r="J32" s="100">
        <f>'2ª FASE'!L319</f>
        <v>131</v>
      </c>
      <c r="K32" s="100">
        <f>'2ª FASE'!M319</f>
        <v>141</v>
      </c>
      <c r="L32" s="100">
        <f>'2ª FASE'!N319</f>
        <v>-10</v>
      </c>
      <c r="M32" s="100">
        <f>'2ª FASE'!O319</f>
        <v>0.22222222222222221</v>
      </c>
      <c r="N32" s="44">
        <f t="shared" si="11"/>
        <v>2000005130999910</v>
      </c>
      <c r="O32" s="44">
        <f t="shared" si="12"/>
        <v>3000005129999891</v>
      </c>
      <c r="P32" s="90">
        <f t="shared" si="13"/>
        <v>11</v>
      </c>
      <c r="Q32" s="100"/>
      <c r="R32" s="104"/>
      <c r="S32" s="104"/>
      <c r="T32" s="104"/>
    </row>
    <row r="33" spans="1:20">
      <c r="A33" s="100"/>
      <c r="B33" s="101">
        <v>11</v>
      </c>
      <c r="C33" s="100" t="str">
        <f>'2ª FASE'!E351</f>
        <v xml:space="preserve">Paris S. Aracanguain </v>
      </c>
      <c r="D33" s="100">
        <f>'2ª FASE'!F351</f>
        <v>3</v>
      </c>
      <c r="E33" s="100">
        <f>'2ª FASE'!G351</f>
        <v>3</v>
      </c>
      <c r="F33" s="100">
        <f>'2ª FASE'!H351</f>
        <v>1</v>
      </c>
      <c r="G33" s="100">
        <f>'2ª FASE'!I351</f>
        <v>0</v>
      </c>
      <c r="H33" s="100">
        <f>'2ª FASE'!J351</f>
        <v>0</v>
      </c>
      <c r="I33" s="100">
        <f>'2ª FASE'!K351</f>
        <v>2</v>
      </c>
      <c r="J33" s="100">
        <f>'2ª FASE'!L351</f>
        <v>130</v>
      </c>
      <c r="K33" s="100">
        <f>'2ª FASE'!M351</f>
        <v>142</v>
      </c>
      <c r="L33" s="100">
        <f>'2ª FASE'!N351</f>
        <v>-12</v>
      </c>
      <c r="M33" s="100">
        <f>'2ª FASE'!O351</f>
        <v>0.33333333333333331</v>
      </c>
      <c r="N33" s="44">
        <f t="shared" si="11"/>
        <v>3000005129999891</v>
      </c>
      <c r="O33" s="44">
        <f t="shared" si="12"/>
        <v>2000005162999854</v>
      </c>
      <c r="P33" s="90">
        <f t="shared" si="13"/>
        <v>4</v>
      </c>
      <c r="Q33" s="100"/>
      <c r="R33" s="104"/>
      <c r="S33" s="104"/>
      <c r="T33" s="104"/>
    </row>
    <row r="34" spans="1:20">
      <c r="A34" s="100"/>
      <c r="B34" s="101">
        <v>12</v>
      </c>
      <c r="C34" s="100" t="str">
        <f>'2ª FASE'!E383</f>
        <v>Maldry F.C</v>
      </c>
      <c r="D34" s="100">
        <f>'2ª FASE'!F383</f>
        <v>3</v>
      </c>
      <c r="E34" s="100">
        <f>'2ª FASE'!G383</f>
        <v>3</v>
      </c>
      <c r="F34" s="100">
        <f>'2ª FASE'!H383</f>
        <v>1</v>
      </c>
      <c r="G34" s="100">
        <f>'2ª FASE'!I383</f>
        <v>0</v>
      </c>
      <c r="H34" s="100">
        <f>'2ª FASE'!J383</f>
        <v>0</v>
      </c>
      <c r="I34" s="100">
        <f>'2ª FASE'!K383</f>
        <v>2</v>
      </c>
      <c r="J34" s="100">
        <f>'2ª FASE'!L383</f>
        <v>155</v>
      </c>
      <c r="K34" s="100">
        <f>'2ª FASE'!M383</f>
        <v>139</v>
      </c>
      <c r="L34" s="100">
        <f>'2ª FASE'!N383</f>
        <v>16</v>
      </c>
      <c r="M34" s="100">
        <f>'2ª FASE'!O383</f>
        <v>0.33333333333333331</v>
      </c>
      <c r="N34" s="44">
        <f t="shared" si="11"/>
        <v>3000005155000172</v>
      </c>
      <c r="O34" s="44">
        <f t="shared" si="12"/>
        <v>2000005153999839</v>
      </c>
      <c r="P34" s="90">
        <f t="shared" si="13"/>
        <v>9</v>
      </c>
      <c r="Q34" s="100"/>
      <c r="R34" s="104"/>
      <c r="S34" s="104"/>
      <c r="T34" s="104"/>
    </row>
    <row r="35" spans="1:20">
      <c r="A35" s="100"/>
      <c r="B35" s="101">
        <v>13</v>
      </c>
      <c r="C35" s="100" t="str">
        <f>'2ª FASE'!E415</f>
        <v>Starmalas.F.C.</v>
      </c>
      <c r="D35" s="100">
        <f>'2ª FASE'!F415</f>
        <v>3</v>
      </c>
      <c r="E35" s="100">
        <f>'2ª FASE'!G415</f>
        <v>3</v>
      </c>
      <c r="F35" s="100">
        <f>'2ª FASE'!H415</f>
        <v>1</v>
      </c>
      <c r="G35" s="100">
        <f>'2ª FASE'!I415</f>
        <v>0</v>
      </c>
      <c r="H35" s="100">
        <f>'2ª FASE'!J415</f>
        <v>0</v>
      </c>
      <c r="I35" s="100">
        <f>'2ª FASE'!K415</f>
        <v>2</v>
      </c>
      <c r="J35" s="100">
        <f>'2ª FASE'!L415</f>
        <v>142</v>
      </c>
      <c r="K35" s="100">
        <f>'2ª FASE'!M415</f>
        <v>144</v>
      </c>
      <c r="L35" s="100">
        <f>'2ª FASE'!N415</f>
        <v>-2</v>
      </c>
      <c r="M35" s="100">
        <f>'2ª FASE'!O415</f>
        <v>0.33333333333333331</v>
      </c>
      <c r="N35" s="44">
        <f t="shared" si="11"/>
        <v>3000005141999993</v>
      </c>
      <c r="O35" s="44">
        <f t="shared" si="12"/>
        <v>2000005130999910</v>
      </c>
      <c r="P35" s="90">
        <f t="shared" si="13"/>
        <v>10</v>
      </c>
      <c r="Q35" s="100"/>
      <c r="R35" s="104"/>
      <c r="S35" s="104"/>
      <c r="T35" s="104"/>
    </row>
    <row r="36" spans="1:20">
      <c r="A36" s="100"/>
      <c r="B36" s="101">
        <v>14</v>
      </c>
      <c r="C36" s="100" t="str">
        <f>'2ª FASE'!E447</f>
        <v>Valquerato</v>
      </c>
      <c r="D36" s="100">
        <f>'2ª FASE'!F447</f>
        <v>3</v>
      </c>
      <c r="E36" s="100">
        <f>'2ª FASE'!G447</f>
        <v>3</v>
      </c>
      <c r="F36" s="100">
        <f>'2ª FASE'!H447</f>
        <v>1</v>
      </c>
      <c r="G36" s="100">
        <f>'2ª FASE'!I447</f>
        <v>0</v>
      </c>
      <c r="H36" s="100">
        <f>'2ª FASE'!J447</f>
        <v>0</v>
      </c>
      <c r="I36" s="100">
        <f>'2ª FASE'!K447</f>
        <v>2</v>
      </c>
      <c r="J36" s="100">
        <f>'2ª FASE'!L447</f>
        <v>157</v>
      </c>
      <c r="K36" s="100">
        <f>'2ª FASE'!M447</f>
        <v>152</v>
      </c>
      <c r="L36" s="100">
        <f>'2ª FASE'!N447</f>
        <v>5</v>
      </c>
      <c r="M36" s="100">
        <f>'2ª FASE'!O447</f>
        <v>0.33333333333333331</v>
      </c>
      <c r="N36" s="44">
        <f t="shared" si="11"/>
        <v>3000005157000064</v>
      </c>
      <c r="O36" s="44">
        <f t="shared" si="12"/>
        <v>2000005094999618</v>
      </c>
      <c r="P36" s="90">
        <f t="shared" si="13"/>
        <v>8</v>
      </c>
      <c r="Q36" s="100"/>
      <c r="R36" s="104"/>
      <c r="S36" s="104"/>
    </row>
    <row r="37" spans="1:20">
      <c r="A37" s="100"/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4"/>
      <c r="S37" s="104"/>
    </row>
    <row r="38" spans="1:20">
      <c r="A38" s="100"/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4"/>
      <c r="S38" s="104"/>
    </row>
    <row r="39" spans="1:20">
      <c r="A39" s="100"/>
      <c r="B39" s="10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4"/>
      <c r="S39" s="104"/>
    </row>
    <row r="40" spans="1:20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4"/>
      <c r="S40" s="104"/>
    </row>
    <row r="41" spans="1:20">
      <c r="A41" s="100"/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4"/>
      <c r="S41" s="104"/>
    </row>
    <row r="42" spans="1:20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104"/>
    </row>
    <row r="43" spans="1:20">
      <c r="A43" s="104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</row>
    <row r="44" spans="1:20">
      <c r="A44" s="104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 s="104"/>
      <c r="P44" s="104"/>
      <c r="Q44" s="104"/>
      <c r="R44" s="104"/>
      <c r="S44" s="104"/>
    </row>
  </sheetData>
  <sheetProtection password="EE74" sheet="1" objects="1" scenarios="1"/>
  <mergeCells count="2">
    <mergeCell ref="C2:P2"/>
    <mergeCell ref="B4:M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1ª fase</vt:lpstr>
      <vt:lpstr>2ª FASE</vt:lpstr>
      <vt:lpstr>3ª FASE</vt:lpstr>
      <vt:lpstr>3º LUGARES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Jane Note</cp:lastModifiedBy>
  <dcterms:created xsi:type="dcterms:W3CDTF">2014-07-25T19:02:26Z</dcterms:created>
  <dcterms:modified xsi:type="dcterms:W3CDTF">2016-11-29T09:54:42Z</dcterms:modified>
</cp:coreProperties>
</file>